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drawings/drawing15.xml" ContentType="application/vnd.openxmlformats-officedocument.drawingml.chartshapes+xml"/>
  <Override PartName="/xl/drawings/drawing16.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charts/chart34.xml" ContentType="application/vnd.openxmlformats-officedocument.drawingml.chart+xml"/>
  <Override PartName="/xl/charts/style32.xml" ContentType="application/vnd.ms-office.chartstyle+xml"/>
  <Override PartName="/xl/charts/colors32.xml" ContentType="application/vnd.ms-office.chartcolorstyle+xml"/>
  <Override PartName="/xl/charts/chart35.xml" ContentType="application/vnd.openxmlformats-officedocument.drawingml.chart+xml"/>
  <Override PartName="/xl/charts/style33.xml" ContentType="application/vnd.ms-office.chartstyle+xml"/>
  <Override PartName="/xl/charts/colors30.xml" ContentType="application/vnd.ms-office.chartcolorstyle+xml"/>
  <Override PartName="/xl/charts/style30.xml" ContentType="application/vnd.ms-office.chartstyle+xml"/>
  <Override PartName="/xl/charts/chart32.xml" ContentType="application/vnd.openxmlformats-officedocument.drawingml.chart+xml"/>
  <Override PartName="/xl/drawings/drawing13.xml" ContentType="application/vnd.openxmlformats-officedocument.drawing+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charts/colors33.xml" ContentType="application/vnd.ms-office.chartcolorstyle+xml"/>
  <Override PartName="/xl/drawings/drawing14.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worksheets/sheet4.xml" ContentType="application/vnd.openxmlformats-officedocument.spreadsheetml.worksheet+xml"/>
  <Override PartName="/xl/charts/chart36.xml" ContentType="application/vnd.openxmlformats-officedocument.drawingml.chart+xml"/>
  <Override PartName="/xl/charts/style34.xml" ContentType="application/vnd.ms-office.chartstyle+xml"/>
  <Override PartName="/xl/charts/colors34.xml" ContentType="application/vnd.ms-office.chartcolorstyle+xml"/>
  <Override PartName="/xl/worksheets/sheet5.xml" ContentType="application/vnd.openxmlformats-officedocument.spreadsheetml.worksheet+xml"/>
  <Override PartName="/xl/charts/chart37.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10.xml" ContentType="application/vnd.openxmlformats-officedocument.themeOverride+xml"/>
  <Override PartName="/xl/charts/colors27.xml" ContentType="application/vnd.ms-office.chartcolorstyle+xml"/>
  <Override PartName="/xl/charts/style27.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worksheets/sheet1.xml" ContentType="application/vnd.openxmlformats-officedocument.spreadsheetml.worksheet+xml"/>
  <Override PartName="/xl/charts/chart22.xml" ContentType="application/vnd.openxmlformats-officedocument.drawingml.chart+xml"/>
  <Override PartName="/xl/drawings/drawing8.xml" ContentType="application/vnd.openxmlformats-officedocument.drawing+xml"/>
  <Override PartName="/xl/charts/style24.xml" ContentType="application/vnd.ms-office.chartstyle+xml"/>
  <Override PartName="/xl/charts/colors24.xml" ContentType="application/vnd.ms-office.chartcolorstyle+xml"/>
  <Override PartName="/xl/drawings/drawing9.xml" ContentType="application/vnd.openxmlformats-officedocument.drawing+xml"/>
  <Override PartName="/xl/theme/themeOverride8.xml" ContentType="application/vnd.openxmlformats-officedocument.themeOverride+xml"/>
  <Override PartName="/xl/drawings/drawing11.xml" ContentType="application/vnd.openxmlformats-officedocument.drawing+xml"/>
  <Override PartName="/xl/charts/chart28.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xml"/>
  <Override PartName="/xl/charts/chart29.xml" ContentType="application/vnd.openxmlformats-officedocument.drawingml.chart+xml"/>
  <Override PartName="/xl/charts/colors26.xml" ContentType="application/vnd.ms-office.chartcolorstyle+xml"/>
  <Override PartName="/xl/charts/style26.xml" ContentType="application/vnd.ms-office.chartstyle+xml"/>
  <Override PartName="/xl/charts/chart27.xml" ContentType="application/vnd.openxmlformats-officedocument.drawingml.chart+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7.xml" ContentType="application/vnd.openxmlformats-officedocument.themeOverride+xml"/>
  <Override PartName="/xl/drawings/drawing10.xml" ContentType="application/vnd.openxmlformats-officedocument.drawing+xml"/>
  <Override PartName="/xl/drawings/drawing19.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charts/style21.xml" ContentType="application/vnd.ms-office.chartstyle+xml"/>
  <Override PartName="/xl/charts/style20.xml" ContentType="application/vnd.ms-office.chartsty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olors20.xml" ContentType="application/vnd.ms-office.chartcolorstyle+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5.xml" ContentType="application/vnd.openxmlformats-officedocument.themeOverride+xml"/>
  <Override PartName="/xl/theme/themeOverride3.xml" ContentType="application/vnd.openxmlformats-officedocument.themeOverride+xml"/>
  <Override PartName="/xl/charts/colors5.xml" ContentType="application/vnd.ms-office.chartcolorstyle+xml"/>
  <Override PartName="/xl/charts/style5.xml" ContentType="application/vnd.ms-office.chart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5.xml" ContentType="application/vnd.openxmlformats-officedocument.drawingml.char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8.xml" ContentType="application/vnd.openxmlformats-officedocument.drawingml.chart+xml"/>
  <Override PartName="/xl/charts/chart6.xml" ContentType="application/vnd.openxmlformats-officedocument.drawingml.chart+xml"/>
  <Override PartName="/xl/charts/chart21.xml" ContentType="application/vnd.openxmlformats-officedocument.drawingml.chart+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olors12.xml" ContentType="application/vnd.ms-office.chartcolorstyle+xml"/>
  <Override PartName="/xl/charts/style12.xml" ContentType="application/vnd.ms-office.chartstyle+xml"/>
  <Override PartName="/xl/charts/chart13.xml" ContentType="application/vnd.openxmlformats-officedocument.drawingml.chart+xml"/>
  <Override PartName="/xl/drawings/drawing7.xml" ContentType="application/vnd.openxmlformats-officedocument.drawing+xml"/>
  <Override PartName="/xl/charts/style8.xml" ContentType="application/vnd.ms-office.chartstyle+xml"/>
  <Override PartName="/xl/charts/chart16.xml" ContentType="application/vnd.openxmlformats-officedocument.drawingml.chart+xml"/>
  <Override PartName="/xl/charts/style15.xml" ContentType="application/vnd.ms-office.chartstyle+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19.xml" ContentType="application/vnd.openxmlformats-officedocument.drawingml.chart+xml"/>
  <Override PartName="/xl/charts/colors17.xml" ContentType="application/vnd.ms-office.chartcolorstyle+xml"/>
  <Override PartName="/xl/charts/style17.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chart10.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xml"/>
  <Override PartName="/xl/charts/style9.xml" ContentType="application/vnd.ms-office.chartstyle+xml"/>
  <Override PartName="/xl/charts/chart9.xml" ContentType="application/vnd.openxmlformats-officedocument.drawingml.chart+xml"/>
  <Override PartName="/xl/charts/colors9.xml" ContentType="application/vnd.ms-office.chartcolorstyle+xml"/>
  <Override PartName="/xl/charts/chart11.xml" ContentType="application/vnd.openxmlformats-officedocument.drawingml.chart+xml"/>
  <Override PartName="/xl/charts/colors10.xml" ContentType="application/vnd.ms-office.chartcolorstyle+xml"/>
  <Override PartName="/xl/charts/style10.xml" ContentType="application/vnd.ms-office.chartstyle+xml"/>
  <Override PartName="/xl/theme/themeOverride6.xml" ContentType="application/vnd.openxmlformats-officedocument.themeOverride+xml"/>
  <Override PartName="/xl/charts/chart12.xml" ContentType="application/vnd.openxmlformats-officedocument.drawingml.chart+xml"/>
  <Override PartName="/xl/charts/colors8.xml" ContentType="application/vnd.ms-office.chartcolorstyle+xml"/>
  <Override PartName="/xl/ctrlProps/ctrlProp1.xml" ContentType="application/vnd.ms-excel.controlproperties+xml"/>
  <Override PartName="/xl/ctrlProps/ctrlProp11.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15.xml" ContentType="application/vnd.ms-excel.controlproperties+xml"/>
  <Override PartName="/xl/ctrlProps/ctrlProp12.xml" ContentType="application/vnd.ms-excel.controlproperties+xml"/>
  <Override PartName="/xl/ctrlProps/ctrlProp2.xml" ContentType="application/vnd.ms-excel.controlproperties+xml"/>
  <Override PartName="/xl/ctrlProps/ctrlProp10.xml" ContentType="application/vnd.ms-excel.controlproperties+xml"/>
  <Override PartName="/xl/ctrlProps/ctrlProp16.xml" ContentType="application/vnd.ms-excel.controlproperties+xml"/>
  <Override PartName="/xl/ctrlProps/ctrlProp4.xml" ContentType="application/vnd.ms-excel.controlproperties+xml"/>
  <Override PartName="/xl/ctrlProps/ctrlProp23.xml" ContentType="application/vnd.ms-excel.controlproperties+xml"/>
  <Override PartName="/xl/ctrlProps/ctrlProp22.xml" ContentType="application/vnd.ms-excel.controlproperties+xml"/>
  <Override PartName="/xl/ctrlProps/ctrlProp26.xml" ContentType="application/vnd.ms-excel.controlproperties+xml"/>
  <Override PartName="/xl/ctrlProps/ctrlProp13.xml" ContentType="application/vnd.ms-excel.controlproperties+xml"/>
  <Override PartName="/xl/ctrlProps/ctrlProp9.xml" ContentType="application/vnd.ms-excel.controlproperties+xml"/>
  <Override PartName="/xl/ctrlProps/ctrlProp8.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25.xml" ContentType="application/vnd.ms-excel.controlproperties+xml"/>
  <Override PartName="/xl/ctrlProps/ctrlProp24.xml" ContentType="application/vnd.ms-excel.controlproperties+xml"/>
  <Override PartName="/xl/ctrlProps/ctrlProp14.xml" ContentType="application/vnd.ms-excel.controlproperties+xml"/>
  <Override PartName="/docProps/app.xml" ContentType="application/vnd.openxmlformats-officedocument.extended-properties+xml"/>
  <Override PartName="/xl/ctrlProps/ctrlProp19.xml" ContentType="application/vnd.ms-excel.controlproperties+xml"/>
  <Override PartName="/xl/ctrlProps/ctrlProp18.xml" ContentType="application/vnd.ms-excel.controlproperties+xml"/>
  <Override PartName="/xl/ctrlProps/ctrlProp17.xml" ContentType="application/vnd.ms-excel.controlproperties+xml"/>
  <Override PartName="/xl/ctrlProps/ctrlProp5.xml" ContentType="application/vnd.ms-excel.controlproperties+xml"/>
  <Override PartName="/xl/ctrlProps/ctrlProp27.xml" ContentType="application/vnd.ms-excel.controlproperties+xml"/>
  <Override PartName="/docProps/core.xml" ContentType="application/vnd.openxmlformats-package.core-properties+xml"/>
  <Override PartName="/xl/calcChain.xml" ContentType="application/vnd.openxmlformats-officedocument.spreadsheetml.calcChain+xml"/>
  <Override PartName="/xl/ctrlProps/ctrlProp21.xml" ContentType="application/vnd.ms-excel.controlproperties+xml"/>
  <Override PartName="/xl/ctrlProps/ctrlProp20.xml" ContentType="application/vnd.ms-excel.controlproperties+xml"/>
  <Override PartName="/xl/ctrlProps/ctrlProp3.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ser\Desktop\Moray Speyside Filing\STEAM reports\"/>
    </mc:Choice>
  </mc:AlternateContent>
  <bookViews>
    <workbookView showSheetTabs="0" xWindow="0" yWindow="0" windowWidth="28800" windowHeight="12435" tabRatio="844" firstSheet="4" activeTab="4"/>
  </bookViews>
  <sheets>
    <sheet name="RPI13" sheetId="74" state="veryHidden" r:id="rId1"/>
    <sheet name="GTS_SHEET" sheetId="1" state="veryHidden" r:id="rId2"/>
    <sheet name="PB" sheetId="71" state="veryHidden" r:id="rId3"/>
    <sheet name="ANNEX" sheetId="72" state="veryHidden" r:id="rId4"/>
    <sheet name="HOME" sheetId="60" r:id="rId5"/>
    <sheet name="USER GUIDE" sheetId="69" r:id="rId6"/>
    <sheet name="COMPARATIVE HEADLINES" sheetId="56" r:id="rId7"/>
    <sheet name="KEY MEASURES" sheetId="63" r:id="rId8"/>
    <sheet name="VISITOR TYPE DISTRIBUTION" sheetId="66" r:id="rId9"/>
    <sheet name="MONTHLY DISTRIBUTION" sheetId="67" r:id="rId10"/>
    <sheet name="ECONOMIC IMPACT" sheetId="55" r:id="rId11"/>
    <sheet name="VISITOR NUMBERS" sheetId="58" r:id="rId12"/>
    <sheet name="VISITOR DAYS" sheetId="57" r:id="rId13"/>
    <sheet name="EMPLOYMENT" sheetId="59" r:id="rId14"/>
    <sheet name="ACCOMMODATION SUPPLY" sheetId="68" r:id="rId15"/>
    <sheet name="SECTORAL ANALYSIS" sheetId="61" r:id="rId16"/>
    <sheet name="COVER" sheetId="62" r:id="rId17"/>
    <sheet name="CONTENTS" sheetId="73" r:id="rId18"/>
    <sheet name="DATA" sheetId="65" r:id="rId19"/>
    <sheet name="LINKS" sheetId="75" state="veryHidden" r:id="rId20"/>
  </sheets>
  <definedNames>
    <definedName name="_xlnm._FilterDatabase" localSheetId="18" hidden="1">DATA!$D$8:$U$920</definedName>
    <definedName name="CHART.chart2seriesname">GTS_SHEET!$K$36</definedName>
    <definedName name="CHART.choices">INDIRECT(GTS_SHEET!$K$17)</definedName>
    <definedName name="CHART2.years">TRANSPOSE(OFFSET(INDEX(REP.yearsrange,1),0,0,COUNTA(REP.yearsrange),1))</definedName>
    <definedName name="CHARTYEAR">VALUE(INDEX(REP.yearsrange,CHARTYEAR.no))</definedName>
    <definedName name="CHARTYEAR.no">GTS_SHEET!$J$35</definedName>
    <definedName name="COMPARISONYEAR">VALUE(IF(INDEX(REP.yearsrange,COMPARISONYEAR.no)&gt;=FOCUSYEAR,FOCUSYEAR,INDEX(REP.yearsrange,COMPARISONYEAR.no)))</definedName>
    <definedName name="COMPARISONYEAR.no">GTS_SHEET!$J$33</definedName>
    <definedName name="DV">INDEX(TYPE.choices,6)</definedName>
    <definedName name="EI.MONTHLYDATA">IFERROR(IF(TYPE.no=5,(INDEX(DATA!B:B,MATCH(REP.yearsrange&amp;"."&amp;'ECONOMIC IMPACT'!$A$1&amp;"."&amp;INDEX(TYPE.choices,1),REP.lookup,0))-INDEX(DATA!B:B,MATCH(REP.yearsrange&amp;"."&amp;'ECONOMIC IMPACT'!$A$1&amp;"."&amp;INDEX(TYPE.choices,6),REP.lookup,0)))*REP.indexationfactors,INDEX(DATA!B:B,MATCH(REP.yearsrange&amp;"."&amp;'ECONOMIC IMPACT'!$A$1&amp;"."&amp;TYPE.userselected,REP.lookup,0))*REP.indexationfactors)/'ECONOMIC IMPACT'!$A$2,0)</definedName>
    <definedName name="EI.SHARE_TOTAL_ANN">IFERROR(INDEX(DATA!N:N,MATCH(TRANSPOSE(REP.yearsrange)&amp;"."&amp;'ECONOMIC IMPACT'!$A$1&amp;"."&amp;TOTAL,REP.lookup,0))*TRANSPOSE(REP.indexationfactors)/'ECONOMIC IMPACT'!$A$4,"")</definedName>
    <definedName name="EI.SHARE_VT_ANN">IFERROR(IF(TYPE.no=5,(INDEX(DATA!N:N,MATCH(TRANSPOSE(REP.yearsrange)&amp;"."&amp;'ECONOMIC IMPACT'!$A$1&amp;"."&amp;INDEX(TYPE.choices,1),REP.lookup,0))-INDEX(DATA!N:N,MATCH(TRANSPOSE(REP.yearsrange)&amp;"."&amp;'ECONOMIC IMPACT'!$A$1&amp;"."&amp;INDEX(TYPE.choices,6),REP.lookup,0)))*TRANSPOSE(REP.indexationfactors),INDEX(DATA!N:N,MATCH(TRANSPOSE(REP.yearsrange)&amp;"."&amp;'ECONOMIC IMPACT'!$A$1&amp;"."&amp;TYPE.userselected,REP.lookup,0))*TRANSPOSE(REP.indexationfactors))/'ECONOMIC IMPACT'!$A$2,"")</definedName>
    <definedName name="EISHAREOFTOTAL" localSheetId="13">INDIRECT(EMPLOYMENT!$D$32)</definedName>
    <definedName name="EISHAREOFTOTAL" localSheetId="15">INDIRECT('SECTORAL ANALYSIS'!$D$32)</definedName>
    <definedName name="EISHAREOFTOTAL" localSheetId="12">INDIRECT('VISITOR DAYS'!$D$32)</definedName>
    <definedName name="EISHAREOFTOTAL" localSheetId="11">INDIRECT('VISITOR NUMBERS'!$D$32)</definedName>
    <definedName name="EISHAREOFTOTAL">INDIRECT('ECONOMIC IMPACT'!$D$32)</definedName>
    <definedName name="EIVISTYPETOTAL" localSheetId="13">INDIRECT(EMPLOYMENT!$D$30)</definedName>
    <definedName name="EIVISTYPETOTAL" localSheetId="15">INDIRECT('SECTORAL ANALYSIS'!$D$30)</definedName>
    <definedName name="EIVISTYPETOTAL" localSheetId="12">INDIRECT('VISITOR DAYS'!$D$30)</definedName>
    <definedName name="EIVISTYPETOTAL" localSheetId="11">INDIRECT('VISITOR NUMBERS'!$D$30)</definedName>
    <definedName name="EIVISTYPETOTAL">INDIRECT('ECONOMIC IMPACT'!$D$30)</definedName>
    <definedName name="EIYEARS" localSheetId="13">INDIRECT(EMPLOYMENT!$D$29)</definedName>
    <definedName name="EIYEARS" localSheetId="15">INDIRECT('SECTORAL ANALYSIS'!$D$29)</definedName>
    <definedName name="EIYEARS" localSheetId="12">INDIRECT('VISITOR DAYS'!$D$29)</definedName>
    <definedName name="EIYEARS" localSheetId="11">INDIRECT('VISITOR NUMBERS'!$D$29)</definedName>
    <definedName name="EIYEARS">INDIRECT('ECONOMIC IMPACT'!$D$29)</definedName>
    <definedName name="EMP.MONTHLYDATA">IFERROR(IF(TYPE.no=5,(INDEX(DATA!B:B,MATCH(REP.yearsrange&amp;"."&amp;EMPLOYMENT!$A$1&amp;"."&amp;TOTAL,REP.lookup,0))-INDEX(DATA!B:B,MATCH(REP.yearsrange&amp;"."&amp;EMPLOYMENT!$A$1&amp;"."&amp;DV,REP.lookup,0))-INDEX(DATA!B:B,MATCH(REP.yearsrange&amp;"."&amp;EMPLOYMENT!$A$1&amp;"."&amp;"Indirect Employment",REP.lookup,0))),INDEX(DATA!B:B,MATCH(REP.yearsrange&amp;"."&amp;EMPLOYMENT!$A$1&amp;"."&amp;TYPE.userselected,REP.lookup,0))),0)</definedName>
    <definedName name="EMP.SHARE_TOTAL_ANN">IFERROR(INDEX(DATA!N:N,MATCH(TRANSPOSE(REP.yearsrange)&amp;"."&amp;EMPLOYMENT!$A$1&amp;"."&amp;TOTAL,REP.lookup,0)),"")</definedName>
    <definedName name="EMP.SHARE_VT_ANN">IFERROR(IF(TYPE.no=5,INDEX(DATA!N:N,MATCH(TRANSPOSE(REP.yearsrange)&amp;"."&amp;EMPLOYMENT!$A$1&amp;"."&amp;TOTAL,REP.lookup,0))-INDEX(DATA!N:N,MATCH(TRANSPOSE(REP.yearsrange)&amp;"."&amp;EMPLOYMENT!$A$1&amp;"."&amp;DV,REP.lookup,0)),INDEX(DATA!N:N,MATCH(TRANSPOSE(REP.yearsrange)&amp;"."&amp;EMPLOYMENT!$A$1&amp;"."&amp;TYPE.userselected,REP.lookup,0))),"")</definedName>
    <definedName name="FOCUSYEAR">VALUE(INDEX(REP.yearsrange,FOCUSYEAR.no))</definedName>
    <definedName name="FOCUSYEAR.choices">INDIRECT(GTS_SHEET!$D$17)</definedName>
    <definedName name="FOCUSYEAR.no">GTS_SHEET!$J$34</definedName>
    <definedName name="INDEX.no">GTS_SHEET!$E$31</definedName>
    <definedName name="NA_LABEL">"Not Applicable"</definedName>
    <definedName name="NSA.bedlabel">INDIRECT('ACCOMMODATION SUPPLY'!$L$23)</definedName>
    <definedName name="NSA.bedvalue">INDIRECT('ACCOMMODATION SUPPLY'!$O$23)</definedName>
    <definedName name="NSA.estlabel">INDIRECT('ACCOMMODATION SUPPLY'!$M$23)</definedName>
    <definedName name="NSA.ESTVALUE">INDIRECT('ACCOMMODATION SUPPLY'!$N$23)</definedName>
    <definedName name="_xlnm.Print_Area" localSheetId="14">'ACCOMMODATION SUPPLY'!$E$6:$X$38</definedName>
    <definedName name="_xlnm.Print_Area" localSheetId="3">ANNEX!$E$6:$X$37</definedName>
    <definedName name="_xlnm.Print_Area" localSheetId="6">'COMPARATIVE HEADLINES'!$E$6:$X$36</definedName>
    <definedName name="_xlnm.Print_Area" localSheetId="17">CONTENTS!$E$6:$X$38</definedName>
    <definedName name="_xlnm.Print_Area" localSheetId="16">COVER!$E$6:$X$35</definedName>
    <definedName name="_xlnm.Print_Area" localSheetId="10">'ECONOMIC IMPACT'!$E$6:$X$38</definedName>
    <definedName name="_xlnm.Print_Area" localSheetId="13">EMPLOYMENT!$E$6:$X$38</definedName>
    <definedName name="_xlnm.Print_Area" localSheetId="4">HOME!$E$6:$X$37</definedName>
    <definedName name="_xlnm.Print_Area" localSheetId="7">'KEY MEASURES'!$E$6:$X$38</definedName>
    <definedName name="_xlnm.Print_Area" localSheetId="9">'MONTHLY DISTRIBUTION'!$E$6:$X$38</definedName>
    <definedName name="_xlnm.Print_Area" localSheetId="2">PB!$E$6:$X$37</definedName>
    <definedName name="_xlnm.Print_Area" localSheetId="15">'SECTORAL ANALYSIS'!$E$6:$X$38</definedName>
    <definedName name="_xlnm.Print_Area" localSheetId="5">'USER GUIDE'!$E$6:$X$38</definedName>
    <definedName name="_xlnm.Print_Area" localSheetId="12">'VISITOR DAYS'!$E$6:$X$38</definedName>
    <definedName name="_xlnm.Print_Area" localSheetId="11">'VISITOR NUMBERS'!$E$6:$X$38</definedName>
    <definedName name="_xlnm.Print_Area" localSheetId="8">'VISITOR TYPE DISTRIBUTION'!$E$6:$X$38</definedName>
    <definedName name="REP.AllYear">GTS_SHEET!$O$23</definedName>
    <definedName name="REP.alookup">DATA!$A:$A</definedName>
    <definedName name="REP.areacode">GTS_SHEET!$D$14</definedName>
    <definedName name="REP.authority">GTS_SHEET!$D$6</definedName>
    <definedName name="REP.companycontacts">GTS_SHEET!$C$37:$C$48</definedName>
    <definedName name="REP.data">DATA!$C$8:'DATA'!$T$608</definedName>
    <definedName name="REP.footer1">GTS_SHEET!$J$5</definedName>
    <definedName name="REP.footer2">GTS_SHEET!$J$6</definedName>
    <definedName name="REP.gts">GTS_SHEET!$D$3</definedName>
    <definedName name="REP.highlightdown">GTS_SHEET!$J$9</definedName>
    <definedName name="REP.highlightsame">GTS_SHEET!$J$11</definedName>
    <definedName name="REP.highlightup">GTS_SHEET!$J$10</definedName>
    <definedName name="REP.ind">GTS_SHEET!$D$15</definedName>
    <definedName name="REP.indexationfactors">GTS_SHEET!$G$19:$G$30</definedName>
    <definedName name="REP.indexationtable">'RPI13'!$A$1:$Y$25</definedName>
    <definedName name="REP.indexationtoFOCUSYEAR">GTS_SHEET!$F$19:$F$30</definedName>
    <definedName name="REP.indexed">IF(INDEX.no=1,"YES","NO")</definedName>
    <definedName name="REP.issued">GTS_SHEET!$D$9</definedName>
    <definedName name="REP.lookup">DATA!$C:$C</definedName>
    <definedName name="REP.monthnos">DATA!$H$7:$T$7</definedName>
    <definedName name="REP.months">DATA!$H$8:$S$8</definedName>
    <definedName name="REP.percenthighlight">GTS_SHEET!$J$8</definedName>
    <definedName name="rep.percenthighlightchoices">GTS_SHEET!$L$8:$L$11</definedName>
    <definedName name="rep.percenthighlightno">GTS_SHEET!$K$8</definedName>
    <definedName name="REP.product">GTS_SHEET!$D$4</definedName>
    <definedName name="REP.QuarterAllYear">GTS_SHEET!$O$19:$O$23</definedName>
    <definedName name="REP.quarters">GTS_SHEET!$O$19:$O$22</definedName>
    <definedName name="REP.reporttype">GTS_SHEET!$D$5</definedName>
    <definedName name="REP.status">GTS_SHEET!$D$10</definedName>
    <definedName name="REP.subzone">GTS_SHEET!$D$7</definedName>
    <definedName name="REP.title1">GTS_SHEET!$J$3</definedName>
    <definedName name="REP.title2">GTS_SHEET!$J$4</definedName>
    <definedName name="REP.user">GTS_SHEET!$D$8</definedName>
    <definedName name="REP.yearnos">GTS_SHEET!$C$19:$C$30</definedName>
    <definedName name="REP.yearnosINV">GTS_SHEET!$B$19:$B$30</definedName>
    <definedName name="REP.yearsrange">GTS_SHEET!$D$19:$D$30</definedName>
    <definedName name="REP.YN">GTS_SHEET!$F$32:$F$33</definedName>
    <definedName name="SA.BEDLABEL">INDIRECT('ACCOMMODATION SUPPLY'!$L$9)</definedName>
    <definedName name="SA.bedvalue">INDIRECT('ACCOMMODATION SUPPLY'!$O$9)</definedName>
    <definedName name="SA.estlabel">INDIRECT('ACCOMMODATION SUPPLY'!$M$9)</definedName>
    <definedName name="SA.estvalue">INDIRECT('ACCOMMODATION SUPPLY'!$N$9)</definedName>
    <definedName name="TD.MONTHLYDATA">IFERROR(IF(TYPE.no=5,(INDEX(DATA!B:B,MATCH(REP.yearsrange&amp;"."&amp;'VISITOR DAYS'!$A$1&amp;"."&amp;TOTAL,REP.lookup,0))-INDEX(DATA!B:B,MATCH(REP.yearsrange&amp;"."&amp;'VISITOR DAYS'!$A$1&amp;"."&amp;DV,REP.lookup,0))),INDEX(DATA!B:B,MATCH(REP.yearsrange&amp;"."&amp;'VISITOR DAYS'!$A$1&amp;"."&amp;TYPE.userselected,REP.lookup,0)))/'VISITOR DAYS'!$A$2,0)</definedName>
    <definedName name="TD.SHARE_TOTAL_ANN">IFERROR(INDEX(DATA!N:N,MATCH(TRANSPOSE(REP.yearsrange)&amp;"."&amp;'VISITOR DAYS'!$A$1&amp;"."&amp;TOTAL,REP.lookup,0))/'VISITOR DAYS'!$A$4,"")</definedName>
    <definedName name="TD.SHARE_VT_ANN">IFERROR(IF(TYPE.no=5,INDEX(DATA!N:N,MATCH(TRANSPOSE(REP.yearsrange)&amp;"."&amp;'VISITOR DAYS'!$A$1&amp;"."&amp;TOTAL,REP.lookup,0))-INDEX(DATA!N:N,MATCH(TRANSPOSE(REP.yearsrange)&amp;"."&amp;'VISITOR DAYS'!$A$1&amp;"."&amp;DV,REP.lookup,0)),INDEX(DATA!N:N,MATCH(TRANSPOSE(REP.yearsrange)&amp;"."&amp;'VISITOR DAYS'!$A$1&amp;"."&amp;TYPE.userselected,REP.lookup,0)))/'VISITOR DAYS'!$A$2,"")</definedName>
    <definedName name="TN.MONTHLYDATA">IFERROR(IF(TYPE.no=5,INDEX(DATA!B:B,MATCH(REP.yearsrange&amp;"."&amp;'VISITOR NUMBERS'!$A$1&amp;"."&amp;INDEX(TYPE.choices,1),REP.lookup,0))-INDEX(DATA!B:B,MATCH(REP.yearsrange&amp;"."&amp;'VISITOR NUMBERS'!$A$1&amp;"."&amp;INDEX(TYPE.choices,6),REP.lookup,0)),INDEX(DATA!B:B,MATCH(REP.yearsrange&amp;"."&amp;'VISITOR NUMBERS'!$A$1&amp;"."&amp;TYPE.userselected,REP.lookup,0)))/'VISITOR NUMBERS'!$A$2,"")</definedName>
    <definedName name="TN.SHARE_TOTAL_ANN">IFERROR(INDEX(DATA!N:N,MATCH(TRANSPOSE(REP.yearsrange)&amp;"."&amp;'VISITOR NUMBERS'!$A$1&amp;"."&amp;TOTAL,REP.lookup,0))/'VISITOR NUMBERS'!$A$4,"")</definedName>
    <definedName name="TN.SHARE_VT_ANN">IFERROR(IF(TYPE.no=5,INDEX(DATA!N:N,MATCH(TRANSPOSE(REP.yearsrange)&amp;"."&amp;'VISITOR NUMBERS'!$A$1&amp;"."&amp;TOTAL,REP.lookup,0))-INDEX(DATA!N:N,MATCH(TRANSPOSE(REP.yearsrange)&amp;"."&amp;'VISITOR NUMBERS'!$A$1&amp;"."&amp;DV,REP.lookup,0)),INDEX(DATA!N:N,MATCH(TRANSPOSE(REP.yearsrange)&amp;"."&amp;'VISITOR NUMBERS'!$A$1&amp;"."&amp;TYPE.userselected,REP.lookup,0)))/'VISITOR NUMBERS'!$A$2,"")</definedName>
    <definedName name="TOTAL">INDEX(TYPE.choices,1)</definedName>
    <definedName name="TYPE.choices">GTS_SHEET!$I$42:$I$47</definedName>
    <definedName name="TYPE.no">GTS_SHEET!$J$48</definedName>
    <definedName name="TYPE.supplymeasure">GTS_SHEET!$J$49</definedName>
    <definedName name="TYPE.userselected">GTS_SHEET!$I$49</definedName>
    <definedName name="VISTYPE.short" comment="=if(right(type.userselected,3)=&quot;ion&quot;,left(type.userselected,len(type.userselected)-14),type.userselected)">IF(RIGHT(TYPE.userselected,3)="ion",LEFT(TYPE.userselected,LEN(TYPE.userselected)-14),TYPE.userselected)</definedName>
    <definedName name="wrn.Sumaries." hidden="1">{#N/A,#N/A,FALSE,"PERTH"}</definedName>
    <definedName name="YEARSINREP">GTS_SHEET!$G$31</definedName>
    <definedName name="Z_8B230698_F8B2_4D0F_832E_63DA4284639C_.wvu.PrintArea" localSheetId="14" hidden="1">'ACCOMMODATION SUPPLY'!$E$9:$X$38</definedName>
    <definedName name="Z_8B230698_F8B2_4D0F_832E_63DA4284639C_.wvu.PrintArea" localSheetId="3" hidden="1">ANNEX!$E$9:$X$37</definedName>
    <definedName name="Z_8B230698_F8B2_4D0F_832E_63DA4284639C_.wvu.PrintArea" localSheetId="6" hidden="1">'COMPARATIVE HEADLINES'!$E$9:$X$36</definedName>
    <definedName name="Z_8B230698_F8B2_4D0F_832E_63DA4284639C_.wvu.PrintArea" localSheetId="17" hidden="1">CONTENTS!$E$9:$X$38</definedName>
    <definedName name="Z_8B230698_F8B2_4D0F_832E_63DA4284639C_.wvu.PrintArea" localSheetId="16" hidden="1">COVER!$E$9:$X$35</definedName>
    <definedName name="Z_8B230698_F8B2_4D0F_832E_63DA4284639C_.wvu.PrintArea" localSheetId="10" hidden="1">'ECONOMIC IMPACT'!$E$9:$X$38</definedName>
    <definedName name="Z_8B230698_F8B2_4D0F_832E_63DA4284639C_.wvu.PrintArea" localSheetId="13" hidden="1">EMPLOYMENT!$E$9:$X$38</definedName>
    <definedName name="Z_8B230698_F8B2_4D0F_832E_63DA4284639C_.wvu.PrintArea" localSheetId="4" hidden="1">HOME!$E$10:$X$37</definedName>
    <definedName name="Z_8B230698_F8B2_4D0F_832E_63DA4284639C_.wvu.PrintArea" localSheetId="7" hidden="1">'KEY MEASURES'!$E$9:$X$38</definedName>
    <definedName name="Z_8B230698_F8B2_4D0F_832E_63DA4284639C_.wvu.PrintArea" localSheetId="9" hidden="1">'MONTHLY DISTRIBUTION'!$E$9:$X$38</definedName>
    <definedName name="Z_8B230698_F8B2_4D0F_832E_63DA4284639C_.wvu.PrintArea" localSheetId="2" hidden="1">PB!$E$9:$X$37</definedName>
    <definedName name="Z_8B230698_F8B2_4D0F_832E_63DA4284639C_.wvu.PrintArea" localSheetId="15" hidden="1">'SECTORAL ANALYSIS'!$E$8:$X$38</definedName>
    <definedName name="Z_8B230698_F8B2_4D0F_832E_63DA4284639C_.wvu.PrintArea" localSheetId="5" hidden="1">'USER GUIDE'!$E$9:$X$38</definedName>
    <definedName name="Z_8B230698_F8B2_4D0F_832E_63DA4284639C_.wvu.PrintArea" localSheetId="12" hidden="1">'VISITOR DAYS'!$E$9:$X$38</definedName>
    <definedName name="Z_8B230698_F8B2_4D0F_832E_63DA4284639C_.wvu.PrintArea" localSheetId="11" hidden="1">'VISITOR NUMBERS'!$E$9:$X$38</definedName>
    <definedName name="Z_8B230698_F8B2_4D0F_832E_63DA4284639C_.wvu.PrintArea" localSheetId="8" hidden="1">'VISITOR TYPE DISTRIBUTION'!$E$9:$X$38</definedName>
    <definedName name="Z_8B230698_F8B2_4D0F_832E_63DA4284639C_.wvu.Rows" localSheetId="14" hidden="1">'ACCOMMODATION SUPPLY'!$1:$1,'ACCOMMODATION SUPPLY'!#REF!</definedName>
    <definedName name="Z_8B230698_F8B2_4D0F_832E_63DA4284639C_.wvu.Rows" localSheetId="3" hidden="1">ANNEX!$1:$1,ANNEX!#REF!</definedName>
    <definedName name="Z_8B230698_F8B2_4D0F_832E_63DA4284639C_.wvu.Rows" localSheetId="6" hidden="1">'COMPARATIVE HEADLINES'!$1:$1,'COMPARATIVE HEADLINES'!#REF!</definedName>
    <definedName name="Z_8B230698_F8B2_4D0F_832E_63DA4284639C_.wvu.Rows" localSheetId="17" hidden="1">CONTENTS!$1:$1,CONTENTS!#REF!</definedName>
    <definedName name="Z_8B230698_F8B2_4D0F_832E_63DA4284639C_.wvu.Rows" localSheetId="16" hidden="1">COVER!$1:$1,COVER!#REF!</definedName>
    <definedName name="Z_8B230698_F8B2_4D0F_832E_63DA4284639C_.wvu.Rows" localSheetId="10" hidden="1">'ECONOMIC IMPACT'!$1:$1,'ECONOMIC IMPACT'!#REF!</definedName>
    <definedName name="Z_8B230698_F8B2_4D0F_832E_63DA4284639C_.wvu.Rows" localSheetId="13" hidden="1">EMPLOYMENT!$1:$1,EMPLOYMENT!#REF!</definedName>
    <definedName name="Z_8B230698_F8B2_4D0F_832E_63DA4284639C_.wvu.Rows" localSheetId="4" hidden="1">HOME!$1:$1,HOME!#REF!</definedName>
    <definedName name="Z_8B230698_F8B2_4D0F_832E_63DA4284639C_.wvu.Rows" localSheetId="7" hidden="1">'KEY MEASURES'!$1:$1,'KEY MEASURES'!#REF!</definedName>
    <definedName name="Z_8B230698_F8B2_4D0F_832E_63DA4284639C_.wvu.Rows" localSheetId="9" hidden="1">'MONTHLY DISTRIBUTION'!$1:$1,'MONTHLY DISTRIBUTION'!#REF!</definedName>
    <definedName name="Z_8B230698_F8B2_4D0F_832E_63DA4284639C_.wvu.Rows" localSheetId="2" hidden="1">PB!$1:$1,PB!#REF!</definedName>
    <definedName name="Z_8B230698_F8B2_4D0F_832E_63DA4284639C_.wvu.Rows" localSheetId="15" hidden="1">'SECTORAL ANALYSIS'!$1:$1,'SECTORAL ANALYSIS'!#REF!</definedName>
    <definedName name="Z_8B230698_F8B2_4D0F_832E_63DA4284639C_.wvu.Rows" localSheetId="5" hidden="1">'USER GUIDE'!$1:$1,'USER GUIDE'!#REF!</definedName>
    <definedName name="Z_8B230698_F8B2_4D0F_832E_63DA4284639C_.wvu.Rows" localSheetId="12" hidden="1">'VISITOR DAYS'!$1:$1,'VISITOR DAYS'!#REF!</definedName>
    <definedName name="Z_8B230698_F8B2_4D0F_832E_63DA4284639C_.wvu.Rows" localSheetId="11" hidden="1">'VISITOR NUMBERS'!$1:$1,'VISITOR NUMBERS'!#REF!</definedName>
    <definedName name="Z_8B230698_F8B2_4D0F_832E_63DA4284639C_.wvu.Rows" localSheetId="8" hidden="1">'VISITOR TYPE DISTRIBUTION'!$1:$1,'VISITOR TYPE DISTRIBUTION'!#REF!</definedName>
  </definedNames>
  <calcPr calcId="152511"/>
</workbook>
</file>

<file path=xl/calcChain.xml><?xml version="1.0" encoding="utf-8"?>
<calcChain xmlns="http://schemas.openxmlformats.org/spreadsheetml/2006/main">
  <c r="P7" i="61" l="1"/>
  <c r="P6" i="61"/>
  <c r="E34" i="59" l="1"/>
  <c r="E34" i="58"/>
  <c r="E34" i="57"/>
  <c r="E34" i="55"/>
  <c r="O23" i="66" l="1"/>
  <c r="S6" i="66"/>
  <c r="S6" i="67"/>
  <c r="O23" i="67"/>
  <c r="E8" i="56" l="1"/>
  <c r="E19" i="56"/>
  <c r="A1" i="58"/>
  <c r="A1" i="57"/>
  <c r="G19" i="1" l="1" a="1"/>
  <c r="G19" i="1" s="1"/>
  <c r="F19" i="1" a="1"/>
  <c r="F19" i="1" s="1"/>
  <c r="F30" i="1" l="1"/>
  <c r="G30" i="1"/>
  <c r="F26" i="1"/>
  <c r="G26" i="1"/>
  <c r="F22" i="1"/>
  <c r="P7" i="56" s="1"/>
  <c r="G22" i="1"/>
  <c r="G29" i="1"/>
  <c r="G25" i="1"/>
  <c r="G21" i="1"/>
  <c r="G28" i="1"/>
  <c r="G24" i="1"/>
  <c r="G20" i="1"/>
  <c r="G27" i="1"/>
  <c r="G23" i="1"/>
  <c r="F29" i="1"/>
  <c r="F25" i="1"/>
  <c r="F21" i="1"/>
  <c r="F28" i="1"/>
  <c r="F24" i="1"/>
  <c r="F20" i="1"/>
  <c r="F27" i="1"/>
  <c r="F23" i="1"/>
  <c r="F31" i="1"/>
  <c r="E8" i="66" l="1"/>
  <c r="Q10" i="68" l="1"/>
  <c r="D5" i="1" l="1"/>
  <c r="Z16" i="73" l="1"/>
  <c r="A1" i="73"/>
  <c r="D31" i="73" s="1"/>
  <c r="D29" i="73" l="1"/>
  <c r="D30" i="73"/>
  <c r="D28" i="73"/>
  <c r="D32" i="73"/>
  <c r="D27" i="73"/>
  <c r="E21" i="72" a="1"/>
  <c r="E21" i="72" s="1"/>
  <c r="F20" i="72"/>
  <c r="S6" i="72"/>
  <c r="E9" i="72" s="1"/>
  <c r="Z16" i="72"/>
  <c r="O11" i="72" a="1"/>
  <c r="O21" i="72" s="1"/>
  <c r="A1" i="72"/>
  <c r="D30" i="72" s="1"/>
  <c r="E32" i="72" l="1"/>
  <c r="E31" i="72"/>
  <c r="E22" i="72"/>
  <c r="E27" i="72"/>
  <c r="E26" i="72"/>
  <c r="E30" i="72"/>
  <c r="E24" i="72"/>
  <c r="E28" i="72"/>
  <c r="E23" i="72"/>
  <c r="E29" i="72"/>
  <c r="E25" i="72"/>
  <c r="O14" i="72"/>
  <c r="O18" i="72"/>
  <c r="O22" i="72"/>
  <c r="D27" i="72"/>
  <c r="D31" i="72"/>
  <c r="O11" i="72"/>
  <c r="O15" i="72"/>
  <c r="O19" i="72"/>
  <c r="O23" i="72"/>
  <c r="D28" i="72"/>
  <c r="D32" i="72"/>
  <c r="O12" i="72"/>
  <c r="O16" i="72"/>
  <c r="O20" i="72"/>
  <c r="O24" i="72"/>
  <c r="D29" i="72"/>
  <c r="O13" i="72"/>
  <c r="O17" i="72"/>
  <c r="F11" i="71" a="1"/>
  <c r="F11" i="71" s="1"/>
  <c r="Z16" i="71"/>
  <c r="A1" i="71"/>
  <c r="D30" i="71" s="1"/>
  <c r="F22" i="71" l="1"/>
  <c r="F18" i="71"/>
  <c r="F14" i="71"/>
  <c r="F21" i="71"/>
  <c r="F17" i="71"/>
  <c r="F13" i="71"/>
  <c r="F24" i="71"/>
  <c r="F20" i="71"/>
  <c r="F16" i="71"/>
  <c r="F12" i="71"/>
  <c r="F23" i="71"/>
  <c r="F19" i="71"/>
  <c r="F15" i="71"/>
  <c r="D27" i="71"/>
  <c r="D31" i="71"/>
  <c r="D28" i="71"/>
  <c r="D32" i="71"/>
  <c r="D29" i="71"/>
  <c r="Z16" i="69"/>
  <c r="A1" i="69"/>
  <c r="D32" i="69" s="1"/>
  <c r="D29" i="69" l="1"/>
  <c r="D30" i="69"/>
  <c r="D27" i="69"/>
  <c r="D31" i="69"/>
  <c r="D28" i="69"/>
  <c r="C812" i="65"/>
  <c r="C808" i="65"/>
  <c r="C804" i="65"/>
  <c r="C800" i="65"/>
  <c r="C798" i="65"/>
  <c r="C794" i="65"/>
  <c r="C789" i="65"/>
  <c r="C787" i="65"/>
  <c r="C781" i="65"/>
  <c r="C779" i="65"/>
  <c r="C777" i="65"/>
  <c r="C773" i="65"/>
  <c r="C771" i="65"/>
  <c r="C765" i="65"/>
  <c r="C759" i="65"/>
  <c r="C755" i="65"/>
  <c r="C754" i="65"/>
  <c r="C750" i="65"/>
  <c r="C747" i="65"/>
  <c r="C746" i="65"/>
  <c r="C744" i="65"/>
  <c r="C740" i="65"/>
  <c r="C737" i="65"/>
  <c r="C736" i="65"/>
  <c r="C735" i="65"/>
  <c r="C733" i="65"/>
  <c r="C731" i="65"/>
  <c r="C729" i="65"/>
  <c r="C728" i="65"/>
  <c r="C727" i="65"/>
  <c r="C725" i="65"/>
  <c r="C723" i="65"/>
  <c r="C721" i="65"/>
  <c r="C720" i="65"/>
  <c r="C719" i="65"/>
  <c r="C717" i="65"/>
  <c r="C715" i="65"/>
  <c r="C713" i="65"/>
  <c r="C709" i="65"/>
  <c r="C707" i="65"/>
  <c r="C701" i="65"/>
  <c r="C699" i="65"/>
  <c r="C693" i="65"/>
  <c r="C691" i="65"/>
  <c r="C685" i="65"/>
  <c r="C681" i="65"/>
  <c r="C679" i="65"/>
  <c r="C677" i="65"/>
  <c r="C675" i="65"/>
  <c r="C673" i="65"/>
  <c r="C671" i="65"/>
  <c r="C667" i="65"/>
  <c r="C665" i="65"/>
  <c r="C663" i="65"/>
  <c r="C661" i="65"/>
  <c r="C659" i="65"/>
  <c r="C656" i="65"/>
  <c r="C655" i="65"/>
  <c r="C654" i="65"/>
  <c r="C652" i="65"/>
  <c r="C650" i="65"/>
  <c r="C649" i="65"/>
  <c r="C648" i="65"/>
  <c r="C647" i="65"/>
  <c r="C645" i="65"/>
  <c r="C641" i="65"/>
  <c r="C640" i="65"/>
  <c r="C639" i="65"/>
  <c r="C637" i="65"/>
  <c r="C636" i="65"/>
  <c r="C635" i="65"/>
  <c r="C634" i="65"/>
  <c r="C633" i="65"/>
  <c r="C631" i="65"/>
  <c r="C630" i="65"/>
  <c r="C629" i="65"/>
  <c r="C628" i="65"/>
  <c r="A628" i="65"/>
  <c r="C627" i="65"/>
  <c r="C625" i="65"/>
  <c r="C623" i="65"/>
  <c r="C621" i="65"/>
  <c r="C620" i="65"/>
  <c r="C619" i="65"/>
  <c r="C617" i="65"/>
  <c r="C615" i="65"/>
  <c r="C613" i="65"/>
  <c r="C612" i="65"/>
  <c r="C609" i="65"/>
  <c r="A620" i="65"/>
  <c r="C643" i="65"/>
  <c r="A639" i="65"/>
  <c r="C669" i="65"/>
  <c r="A707" i="65"/>
  <c r="A699" i="65"/>
  <c r="A691" i="65"/>
  <c r="A701" i="65"/>
  <c r="A693" i="65"/>
  <c r="C651" i="65"/>
  <c r="C644" i="65"/>
  <c r="C624" i="65"/>
  <c r="C616" i="65"/>
  <c r="C738" i="65"/>
  <c r="C734" i="65"/>
  <c r="C732" i="65"/>
  <c r="C730" i="65"/>
  <c r="C726" i="65"/>
  <c r="C724" i="65"/>
  <c r="C722" i="65"/>
  <c r="C718" i="65"/>
  <c r="C716" i="65"/>
  <c r="C714" i="65"/>
  <c r="C761" i="65"/>
  <c r="C757" i="65"/>
  <c r="C745" i="65"/>
  <c r="C743" i="65"/>
  <c r="C741" i="65"/>
  <c r="C739" i="65"/>
  <c r="C790" i="65"/>
  <c r="A790" i="65"/>
  <c r="C788" i="65"/>
  <c r="A788" i="65"/>
  <c r="C786" i="65"/>
  <c r="A786" i="65"/>
  <c r="C784" i="65"/>
  <c r="A784" i="65"/>
  <c r="C782" i="65"/>
  <c r="A782" i="65"/>
  <c r="C780" i="65"/>
  <c r="A780" i="65"/>
  <c r="C778" i="65"/>
  <c r="A778" i="65"/>
  <c r="C776" i="65"/>
  <c r="A776" i="65"/>
  <c r="C774" i="65"/>
  <c r="A774" i="65"/>
  <c r="C772" i="65"/>
  <c r="A772" i="65"/>
  <c r="C770" i="65"/>
  <c r="A770" i="65"/>
  <c r="C768" i="65"/>
  <c r="A768" i="65"/>
  <c r="C766" i="65"/>
  <c r="A766" i="65"/>
  <c r="C816" i="65"/>
  <c r="C815" i="65"/>
  <c r="A815" i="65"/>
  <c r="C814" i="65"/>
  <c r="C810" i="65"/>
  <c r="A807" i="65"/>
  <c r="A799" i="65"/>
  <c r="A791" i="65"/>
  <c r="C813" i="65"/>
  <c r="C811" i="65"/>
  <c r="C809" i="65"/>
  <c r="C807" i="65"/>
  <c r="C805" i="65"/>
  <c r="C803" i="65"/>
  <c r="C801" i="65"/>
  <c r="C799" i="65"/>
  <c r="C797" i="65"/>
  <c r="C795" i="65"/>
  <c r="C793" i="65"/>
  <c r="C791" i="65"/>
  <c r="A747" i="65"/>
  <c r="A709" i="65" l="1"/>
  <c r="A635" i="65"/>
  <c r="A647" i="65"/>
  <c r="A793" i="65"/>
  <c r="A795" i="65"/>
  <c r="A797" i="65"/>
  <c r="A801" i="65"/>
  <c r="A803" i="65"/>
  <c r="A805" i="65"/>
  <c r="A809" i="65"/>
  <c r="A811" i="65"/>
  <c r="A813" i="65"/>
  <c r="A617" i="65"/>
  <c r="A619" i="65"/>
  <c r="A621" i="65"/>
  <c r="A623" i="65"/>
  <c r="A654" i="65"/>
  <c r="A800" i="65"/>
  <c r="A746" i="65"/>
  <c r="A750" i="65"/>
  <c r="A754" i="65"/>
  <c r="A779" i="65"/>
  <c r="A804" i="65"/>
  <c r="A611" i="65"/>
  <c r="A615" i="65"/>
  <c r="A646" i="65"/>
  <c r="A683" i="65"/>
  <c r="A748" i="65"/>
  <c r="A752" i="65"/>
  <c r="A792" i="65"/>
  <c r="A802" i="65"/>
  <c r="A810" i="65"/>
  <c r="A816" i="65"/>
  <c r="A642" i="65"/>
  <c r="A742" i="65"/>
  <c r="A767" i="65"/>
  <c r="A769" i="65"/>
  <c r="A775" i="65"/>
  <c r="A777" i="65"/>
  <c r="A783" i="65"/>
  <c r="A785" i="65"/>
  <c r="A796" i="65"/>
  <c r="A806" i="65"/>
  <c r="A814" i="65"/>
  <c r="C792" i="65"/>
  <c r="A630" i="65"/>
  <c r="A659" i="65"/>
  <c r="A612" i="65"/>
  <c r="A625" i="65"/>
  <c r="A638" i="65"/>
  <c r="A740" i="65"/>
  <c r="C796" i="65"/>
  <c r="C611" i="65"/>
  <c r="C769" i="65"/>
  <c r="C802" i="65"/>
  <c r="C806" i="65"/>
  <c r="A771" i="65"/>
  <c r="C742" i="65"/>
  <c r="C748" i="65"/>
  <c r="C752" i="65"/>
  <c r="C642" i="65"/>
  <c r="C683" i="65"/>
  <c r="A667" i="65"/>
  <c r="C638" i="65"/>
  <c r="A663" i="65"/>
  <c r="A671" i="65"/>
  <c r="A679" i="65"/>
  <c r="C785" i="65"/>
  <c r="A794" i="65"/>
  <c r="A798" i="65"/>
  <c r="A808" i="65"/>
  <c r="A812" i="65"/>
  <c r="A787" i="65"/>
  <c r="A744" i="65"/>
  <c r="A609" i="65"/>
  <c r="A613" i="65"/>
  <c r="A627" i="65"/>
  <c r="A631" i="65"/>
  <c r="C646" i="65"/>
  <c r="A675" i="65"/>
  <c r="A650" i="65"/>
  <c r="A610" i="65"/>
  <c r="A614" i="65"/>
  <c r="A616" i="65"/>
  <c r="A618" i="65"/>
  <c r="A622" i="65"/>
  <c r="A624" i="65"/>
  <c r="A626" i="65"/>
  <c r="A632" i="65"/>
  <c r="A643" i="65"/>
  <c r="A651" i="65"/>
  <c r="A653" i="65"/>
  <c r="A657" i="65"/>
  <c r="A687" i="65"/>
  <c r="A689" i="65"/>
  <c r="A695" i="65"/>
  <c r="A697" i="65"/>
  <c r="A703" i="65"/>
  <c r="A705" i="65"/>
  <c r="A711" i="65"/>
  <c r="A739" i="65"/>
  <c r="A741" i="65"/>
  <c r="A743" i="65"/>
  <c r="A745" i="65"/>
  <c r="A749" i="65"/>
  <c r="A751" i="65"/>
  <c r="A753" i="65"/>
  <c r="A757" i="65"/>
  <c r="A761" i="65"/>
  <c r="A763" i="65"/>
  <c r="C767" i="65"/>
  <c r="C775" i="65"/>
  <c r="C783" i="65"/>
  <c r="A765" i="65"/>
  <c r="A773" i="65"/>
  <c r="A781" i="65"/>
  <c r="A789" i="65"/>
  <c r="C749" i="65"/>
  <c r="C751" i="65"/>
  <c r="C753" i="65"/>
  <c r="A755" i="65"/>
  <c r="A759" i="65"/>
  <c r="C763" i="65"/>
  <c r="C689" i="65"/>
  <c r="C697" i="65"/>
  <c r="C705" i="65"/>
  <c r="C687" i="65"/>
  <c r="C695" i="65"/>
  <c r="C703" i="65"/>
  <c r="C711" i="65"/>
  <c r="C657" i="65"/>
  <c r="A649" i="65"/>
  <c r="C653" i="65"/>
  <c r="A637" i="65"/>
  <c r="A641" i="65"/>
  <c r="A645" i="65"/>
  <c r="A655" i="65"/>
  <c r="C614" i="65"/>
  <c r="C622" i="65"/>
  <c r="A634" i="65"/>
  <c r="C632" i="65"/>
  <c r="C610" i="65"/>
  <c r="C618" i="65"/>
  <c r="C626" i="65"/>
  <c r="A681" i="65"/>
  <c r="A665" i="65"/>
  <c r="A669" i="65"/>
  <c r="A677" i="65"/>
  <c r="A685" i="65"/>
  <c r="A661" i="65"/>
  <c r="A673" i="65"/>
  <c r="A629" i="65"/>
  <c r="A633" i="65"/>
  <c r="A662" i="65"/>
  <c r="C662" i="65"/>
  <c r="A670" i="65"/>
  <c r="C670" i="65"/>
  <c r="A678" i="65"/>
  <c r="C678" i="65"/>
  <c r="A686" i="65"/>
  <c r="C686" i="65"/>
  <c r="A694" i="65"/>
  <c r="C694" i="65"/>
  <c r="A702" i="65"/>
  <c r="C702" i="65"/>
  <c r="A710" i="65"/>
  <c r="C710" i="65"/>
  <c r="A664" i="65"/>
  <c r="C664" i="65"/>
  <c r="A672" i="65"/>
  <c r="C672" i="65"/>
  <c r="A680" i="65"/>
  <c r="C680" i="65"/>
  <c r="A688" i="65"/>
  <c r="C688" i="65"/>
  <c r="A696" i="65"/>
  <c r="C696" i="65"/>
  <c r="A704" i="65"/>
  <c r="C704" i="65"/>
  <c r="A712" i="65"/>
  <c r="C712" i="65"/>
  <c r="A756" i="65"/>
  <c r="A758" i="65"/>
  <c r="A760" i="65"/>
  <c r="A762" i="65"/>
  <c r="A764" i="65"/>
  <c r="A713" i="65"/>
  <c r="A715" i="65"/>
  <c r="A717" i="65"/>
  <c r="A719" i="65"/>
  <c r="A721" i="65"/>
  <c r="A723" i="65"/>
  <c r="A725" i="65"/>
  <c r="A727" i="65"/>
  <c r="A729" i="65"/>
  <c r="A731" i="65"/>
  <c r="A733" i="65"/>
  <c r="A735" i="65"/>
  <c r="A737" i="65"/>
  <c r="A658" i="65"/>
  <c r="C658" i="65"/>
  <c r="A666" i="65"/>
  <c r="C666" i="65"/>
  <c r="A674" i="65"/>
  <c r="C674" i="65"/>
  <c r="A682" i="65"/>
  <c r="C682" i="65"/>
  <c r="A690" i="65"/>
  <c r="C690" i="65"/>
  <c r="A698" i="65"/>
  <c r="C698" i="65"/>
  <c r="A706" i="65"/>
  <c r="C706" i="65"/>
  <c r="A636" i="65"/>
  <c r="A640" i="65"/>
  <c r="A644" i="65"/>
  <c r="A648" i="65"/>
  <c r="A652" i="65"/>
  <c r="A656" i="65"/>
  <c r="A660" i="65"/>
  <c r="C660" i="65"/>
  <c r="A668" i="65"/>
  <c r="C668" i="65"/>
  <c r="A676" i="65"/>
  <c r="C676" i="65"/>
  <c r="A684" i="65"/>
  <c r="C684" i="65"/>
  <c r="A692" i="65"/>
  <c r="C692" i="65"/>
  <c r="A700" i="65"/>
  <c r="C700" i="65"/>
  <c r="A708" i="65"/>
  <c r="C708" i="65"/>
  <c r="A716" i="65"/>
  <c r="A720" i="65"/>
  <c r="A726" i="65"/>
  <c r="A730" i="65"/>
  <c r="A736" i="65"/>
  <c r="A714" i="65"/>
  <c r="A718" i="65"/>
  <c r="A722" i="65"/>
  <c r="A724" i="65"/>
  <c r="A728" i="65"/>
  <c r="A732" i="65"/>
  <c r="A734" i="65"/>
  <c r="A738" i="65"/>
  <c r="C756" i="65"/>
  <c r="C758" i="65"/>
  <c r="C760" i="65"/>
  <c r="C762" i="65"/>
  <c r="C764" i="65"/>
  <c r="F29" i="68"/>
  <c r="E29" i="68"/>
  <c r="F28" i="68"/>
  <c r="E28" i="68"/>
  <c r="F27" i="68"/>
  <c r="E27" i="68"/>
  <c r="F26" i="68"/>
  <c r="E26" i="68"/>
  <c r="F25" i="68"/>
  <c r="E25" i="68"/>
  <c r="F24" i="68"/>
  <c r="E24" i="68"/>
  <c r="P34" i="68"/>
  <c r="K34" i="68"/>
  <c r="F34" i="68"/>
  <c r="F34" i="68" a="1"/>
  <c r="Q34" i="68" s="1"/>
  <c r="E36" i="68"/>
  <c r="E35" i="68"/>
  <c r="F15" i="68"/>
  <c r="F14" i="68"/>
  <c r="F13" i="68"/>
  <c r="F12" i="68"/>
  <c r="F11" i="68"/>
  <c r="F10" i="68"/>
  <c r="E15" i="68"/>
  <c r="E14" i="68"/>
  <c r="E13" i="68"/>
  <c r="E12" i="68"/>
  <c r="E11" i="68"/>
  <c r="E10" i="68"/>
  <c r="U6" i="68"/>
  <c r="Z26" i="68"/>
  <c r="O6" i="68"/>
  <c r="M5" i="68"/>
  <c r="A1" i="68"/>
  <c r="C918" i="65"/>
  <c r="C914" i="65"/>
  <c r="C910" i="65"/>
  <c r="C907" i="65"/>
  <c r="C906" i="65"/>
  <c r="C902" i="65"/>
  <c r="C901" i="65"/>
  <c r="C898" i="65"/>
  <c r="C897" i="65"/>
  <c r="C894" i="65"/>
  <c r="A893" i="65"/>
  <c r="C891" i="65"/>
  <c r="C890" i="65"/>
  <c r="C889" i="65"/>
  <c r="C888" i="65"/>
  <c r="C886" i="65"/>
  <c r="A885" i="65"/>
  <c r="C883" i="65"/>
  <c r="C882" i="65"/>
  <c r="C881" i="65"/>
  <c r="C880" i="65"/>
  <c r="C878" i="65"/>
  <c r="A877" i="65"/>
  <c r="C875" i="65"/>
  <c r="C874" i="65"/>
  <c r="C873" i="65"/>
  <c r="C872" i="65"/>
  <c r="C870" i="65"/>
  <c r="A869" i="65"/>
  <c r="A891" i="65"/>
  <c r="A887" i="65"/>
  <c r="A883" i="65"/>
  <c r="A879" i="65"/>
  <c r="A875" i="65"/>
  <c r="A871" i="65"/>
  <c r="C866" i="65"/>
  <c r="C865" i="65"/>
  <c r="C862" i="65"/>
  <c r="C858" i="65"/>
  <c r="C855" i="65"/>
  <c r="C854" i="65"/>
  <c r="C853" i="65"/>
  <c r="C850" i="65"/>
  <c r="C846" i="65"/>
  <c r="A868" i="65"/>
  <c r="A867" i="65"/>
  <c r="A864" i="65"/>
  <c r="A863" i="65"/>
  <c r="A860" i="65"/>
  <c r="A859" i="65"/>
  <c r="A856" i="65"/>
  <c r="A855" i="65"/>
  <c r="A852" i="65"/>
  <c r="A851" i="65"/>
  <c r="A848" i="65"/>
  <c r="A844" i="65"/>
  <c r="A843" i="65"/>
  <c r="C842" i="65"/>
  <c r="C840" i="65"/>
  <c r="C838" i="65"/>
  <c r="C836" i="65"/>
  <c r="C834" i="65"/>
  <c r="C833" i="65"/>
  <c r="C832" i="65"/>
  <c r="C831" i="65"/>
  <c r="C830" i="65"/>
  <c r="C828" i="65"/>
  <c r="C826" i="65"/>
  <c r="C825" i="65"/>
  <c r="C824" i="65"/>
  <c r="C823" i="65"/>
  <c r="C822" i="65"/>
  <c r="C820" i="65"/>
  <c r="C819" i="65"/>
  <c r="C818" i="65"/>
  <c r="C817" i="65"/>
  <c r="C839" i="65"/>
  <c r="C837" i="65"/>
  <c r="C835" i="65"/>
  <c r="C829" i="65"/>
  <c r="C827" i="65"/>
  <c r="C821" i="65"/>
  <c r="C868" i="65"/>
  <c r="C867" i="65"/>
  <c r="C864" i="65"/>
  <c r="C863" i="65"/>
  <c r="C860" i="65"/>
  <c r="C859" i="65"/>
  <c r="C856" i="65"/>
  <c r="C852" i="65"/>
  <c r="C851" i="65"/>
  <c r="C849" i="65"/>
  <c r="C848" i="65"/>
  <c r="C847" i="65"/>
  <c r="A847" i="65"/>
  <c r="C844" i="65"/>
  <c r="C843" i="65"/>
  <c r="C892" i="65"/>
  <c r="A890" i="65"/>
  <c r="A889" i="65"/>
  <c r="C884" i="65"/>
  <c r="A882" i="65"/>
  <c r="A881" i="65"/>
  <c r="C876" i="65"/>
  <c r="A874" i="65"/>
  <c r="C893" i="65"/>
  <c r="C887" i="65"/>
  <c r="C879" i="65"/>
  <c r="C877" i="65"/>
  <c r="C871" i="65"/>
  <c r="C920" i="65"/>
  <c r="C916" i="65"/>
  <c r="C912" i="65"/>
  <c r="C908" i="65"/>
  <c r="C903" i="65"/>
  <c r="C904" i="65"/>
  <c r="C905" i="65"/>
  <c r="C896" i="65"/>
  <c r="C899" i="65"/>
  <c r="C900" i="65"/>
  <c r="G34" i="68" l="1"/>
  <c r="L34" i="68"/>
  <c r="H34" i="68"/>
  <c r="N34" i="68"/>
  <c r="J34" i="68"/>
  <c r="O34" i="68"/>
  <c r="C845" i="65"/>
  <c r="A845" i="65"/>
  <c r="C857" i="65"/>
  <c r="A857" i="65"/>
  <c r="C861" i="65"/>
  <c r="A861" i="65"/>
  <c r="A873" i="65"/>
  <c r="C869" i="65"/>
  <c r="C885" i="65"/>
  <c r="A853" i="65"/>
  <c r="A849" i="65"/>
  <c r="A865" i="65"/>
  <c r="A817" i="65"/>
  <c r="A819" i="65"/>
  <c r="A821" i="65"/>
  <c r="A823" i="65"/>
  <c r="A825" i="65"/>
  <c r="A827" i="65"/>
  <c r="A829" i="65"/>
  <c r="A831" i="65"/>
  <c r="A833" i="65"/>
  <c r="A835" i="65"/>
  <c r="A837" i="65"/>
  <c r="A839" i="65"/>
  <c r="A841" i="65"/>
  <c r="A870" i="65"/>
  <c r="A878" i="65"/>
  <c r="A886" i="65"/>
  <c r="A894" i="65"/>
  <c r="A876" i="65"/>
  <c r="A884" i="65"/>
  <c r="A892" i="65"/>
  <c r="I34" i="68"/>
  <c r="M34" i="68"/>
  <c r="A872" i="65"/>
  <c r="A880" i="65"/>
  <c r="A888" i="65"/>
  <c r="A846" i="65"/>
  <c r="A850" i="65"/>
  <c r="A854" i="65"/>
  <c r="A858" i="65"/>
  <c r="A862" i="65"/>
  <c r="A866" i="65"/>
  <c r="C841" i="65"/>
  <c r="A818" i="65"/>
  <c r="A820" i="65"/>
  <c r="A822" i="65"/>
  <c r="A824" i="65"/>
  <c r="A826" i="65"/>
  <c r="A828" i="65"/>
  <c r="A830" i="65"/>
  <c r="A832" i="65"/>
  <c r="A834" i="65"/>
  <c r="A836" i="65"/>
  <c r="A838" i="65"/>
  <c r="A840" i="65"/>
  <c r="A842" i="65"/>
  <c r="A909" i="65"/>
  <c r="A913" i="65"/>
  <c r="A917" i="65"/>
  <c r="A907" i="65"/>
  <c r="A905" i="65"/>
  <c r="A903" i="65"/>
  <c r="A901" i="65"/>
  <c r="A911" i="65"/>
  <c r="A915" i="65"/>
  <c r="A919" i="65"/>
  <c r="C909" i="65"/>
  <c r="C911" i="65"/>
  <c r="C913" i="65"/>
  <c r="C915" i="65"/>
  <c r="C917" i="65"/>
  <c r="C919" i="65"/>
  <c r="A908" i="65"/>
  <c r="A910" i="65"/>
  <c r="A912" i="65"/>
  <c r="A914" i="65"/>
  <c r="A916" i="65"/>
  <c r="A918" i="65"/>
  <c r="A920" i="65"/>
  <c r="A906" i="65"/>
  <c r="A904" i="65"/>
  <c r="A902" i="65"/>
  <c r="A900" i="65"/>
  <c r="A899" i="65"/>
  <c r="A898" i="65"/>
  <c r="A896" i="65"/>
  <c r="A897" i="65"/>
  <c r="C895" i="65" l="1"/>
  <c r="A895" i="65" l="1"/>
  <c r="Z27" i="67" l="1"/>
  <c r="G31" i="1" l="1"/>
  <c r="D35" i="57" l="1"/>
  <c r="D31" i="57"/>
  <c r="D33" i="58"/>
  <c r="D29" i="58"/>
  <c r="D29" i="57"/>
  <c r="D35" i="58"/>
  <c r="D32" i="57"/>
  <c r="D30" i="58"/>
  <c r="D34" i="57"/>
  <c r="D30" i="57"/>
  <c r="D32" i="58"/>
  <c r="D33" i="57"/>
  <c r="D31" i="58"/>
  <c r="D34" i="58"/>
  <c r="F60" i="67" a="1"/>
  <c r="N60" i="67" s="1"/>
  <c r="E60" i="67"/>
  <c r="H60" i="67" l="1"/>
  <c r="P60" i="67"/>
  <c r="K60" i="67"/>
  <c r="O60" i="67"/>
  <c r="L60" i="67"/>
  <c r="G60" i="67"/>
  <c r="I60" i="67"/>
  <c r="M60" i="67"/>
  <c r="Q60" i="67"/>
  <c r="F60" i="67"/>
  <c r="J60" i="67"/>
  <c r="T13" i="58"/>
  <c r="T13" i="57"/>
  <c r="T13" i="59"/>
  <c r="T13" i="55"/>
  <c r="E10" i="66" l="1" a="1"/>
  <c r="E10" i="66" s="1"/>
  <c r="E13" i="66" l="1"/>
  <c r="E12" i="66"/>
  <c r="E11" i="66"/>
  <c r="E15" i="66" s="1"/>
  <c r="E14" i="66"/>
  <c r="U6" i="67" l="1"/>
  <c r="E56" i="67" a="1"/>
  <c r="E59" i="67" s="1"/>
  <c r="E52" i="67" a="1"/>
  <c r="E55" i="67" s="1"/>
  <c r="E48" i="67" a="1"/>
  <c r="E50" i="67" s="1"/>
  <c r="E43" i="67"/>
  <c r="F43" i="67" a="1"/>
  <c r="F43" i="67" s="1"/>
  <c r="I43" i="67"/>
  <c r="E44" i="67" a="1"/>
  <c r="E44" i="67" s="1"/>
  <c r="O7" i="67"/>
  <c r="O6" i="67"/>
  <c r="M5" i="67"/>
  <c r="A1" i="67"/>
  <c r="M5" i="66"/>
  <c r="U6" i="66"/>
  <c r="O6" i="66"/>
  <c r="O7" i="66"/>
  <c r="A1" i="66"/>
  <c r="Q43" i="67" l="1"/>
  <c r="M43" i="67"/>
  <c r="E52" i="67"/>
  <c r="E54" i="67"/>
  <c r="E53" i="67"/>
  <c r="E47" i="67"/>
  <c r="E56" i="67"/>
  <c r="E57" i="67"/>
  <c r="E58" i="67"/>
  <c r="E49" i="67"/>
  <c r="E51" i="67"/>
  <c r="E48" i="67"/>
  <c r="P43" i="67"/>
  <c r="L43" i="67"/>
  <c r="H43" i="67"/>
  <c r="O43" i="67"/>
  <c r="K43" i="67"/>
  <c r="G43" i="67"/>
  <c r="N43" i="67"/>
  <c r="J43" i="67"/>
  <c r="E46" i="67"/>
  <c r="E45" i="67"/>
  <c r="E34" i="63"/>
  <c r="J4" i="1"/>
  <c r="E7" i="73" s="1"/>
  <c r="J3" i="1"/>
  <c r="E6" i="73" s="1"/>
  <c r="E6" i="71" l="1"/>
  <c r="E6" i="72"/>
  <c r="E7" i="71"/>
  <c r="E7" i="72"/>
  <c r="E7" i="68"/>
  <c r="E7" i="69"/>
  <c r="E6" i="68"/>
  <c r="E6" i="69"/>
  <c r="E6" i="66"/>
  <c r="E6" i="67"/>
  <c r="E7" i="66"/>
  <c r="E7" i="67"/>
  <c r="U6" i="63"/>
  <c r="U6" i="61"/>
  <c r="U6" i="55"/>
  <c r="E33" i="63"/>
  <c r="N6" i="60" l="1"/>
  <c r="E23" i="61" l="1"/>
  <c r="E14" i="59" l="1"/>
  <c r="E13" i="59"/>
  <c r="E14" i="57"/>
  <c r="E13" i="57"/>
  <c r="E14" i="58"/>
  <c r="E13" i="58"/>
  <c r="E14" i="55"/>
  <c r="E13" i="55"/>
  <c r="P7" i="55"/>
  <c r="O7" i="63"/>
  <c r="F18" i="1"/>
  <c r="G18" i="1"/>
  <c r="C607" i="65" l="1"/>
  <c r="C606" i="65"/>
  <c r="C605" i="65"/>
  <c r="C604" i="65"/>
  <c r="C603" i="65"/>
  <c r="C602" i="65"/>
  <c r="C601" i="65"/>
  <c r="C600" i="65"/>
  <c r="C599" i="65"/>
  <c r="C598" i="65"/>
  <c r="C597" i="65"/>
  <c r="C596" i="65"/>
  <c r="C595" i="65"/>
  <c r="C594" i="65"/>
  <c r="C593" i="65"/>
  <c r="C592" i="65"/>
  <c r="C591" i="65"/>
  <c r="C590" i="65"/>
  <c r="C589" i="65"/>
  <c r="C588" i="65"/>
  <c r="C587" i="65"/>
  <c r="C586" i="65"/>
  <c r="C585" i="65"/>
  <c r="C584" i="65"/>
  <c r="C583" i="65"/>
  <c r="C582" i="65"/>
  <c r="C581" i="65"/>
  <c r="C580" i="65"/>
  <c r="C579" i="65"/>
  <c r="C578" i="65"/>
  <c r="C577" i="65"/>
  <c r="C576" i="65"/>
  <c r="C575" i="65"/>
  <c r="C574" i="65"/>
  <c r="C573" i="65"/>
  <c r="C572" i="65"/>
  <c r="C571" i="65"/>
  <c r="C570" i="65"/>
  <c r="C569" i="65"/>
  <c r="C568" i="65"/>
  <c r="C567" i="65"/>
  <c r="C566" i="65"/>
  <c r="C565" i="65"/>
  <c r="C564" i="65"/>
  <c r="C563" i="65"/>
  <c r="C562" i="65"/>
  <c r="C561" i="65"/>
  <c r="C560" i="65"/>
  <c r="C559" i="65"/>
  <c r="C558" i="65"/>
  <c r="C557" i="65"/>
  <c r="C556" i="65"/>
  <c r="C555" i="65"/>
  <c r="C554" i="65"/>
  <c r="C553" i="65"/>
  <c r="C552" i="65"/>
  <c r="C551" i="65"/>
  <c r="C550" i="65"/>
  <c r="C549" i="65"/>
  <c r="C548" i="65"/>
  <c r="C547" i="65"/>
  <c r="C546" i="65"/>
  <c r="C545" i="65"/>
  <c r="C544" i="65"/>
  <c r="C543" i="65"/>
  <c r="C542" i="65"/>
  <c r="C541" i="65"/>
  <c r="C540" i="65"/>
  <c r="C539" i="65"/>
  <c r="C538" i="65"/>
  <c r="C537" i="65"/>
  <c r="C536" i="65"/>
  <c r="A536" i="65"/>
  <c r="C535" i="65"/>
  <c r="C534" i="65"/>
  <c r="C533" i="65"/>
  <c r="C532" i="65"/>
  <c r="C531" i="65"/>
  <c r="C530" i="65"/>
  <c r="C529" i="65"/>
  <c r="A529" i="65"/>
  <c r="C528" i="65"/>
  <c r="C527" i="65"/>
  <c r="C526" i="65"/>
  <c r="C525" i="65"/>
  <c r="C524" i="65"/>
  <c r="C523" i="65"/>
  <c r="C522" i="65"/>
  <c r="C521" i="65"/>
  <c r="C520" i="65"/>
  <c r="C519" i="65"/>
  <c r="C518" i="65"/>
  <c r="C517" i="65"/>
  <c r="C516" i="65"/>
  <c r="C515" i="65"/>
  <c r="C514" i="65"/>
  <c r="A514" i="65"/>
  <c r="C513" i="65"/>
  <c r="C512" i="65"/>
  <c r="C511" i="65"/>
  <c r="C510" i="65"/>
  <c r="C509" i="65"/>
  <c r="A509" i="65"/>
  <c r="C508" i="65"/>
  <c r="C507" i="65"/>
  <c r="C506" i="65"/>
  <c r="A506" i="65"/>
  <c r="C505" i="65"/>
  <c r="A505" i="65"/>
  <c r="C504" i="65"/>
  <c r="A504" i="65"/>
  <c r="C503" i="65"/>
  <c r="C502" i="65"/>
  <c r="A502" i="65"/>
  <c r="C501" i="65"/>
  <c r="C500" i="65"/>
  <c r="A500" i="65"/>
  <c r="C499" i="65"/>
  <c r="C498" i="65"/>
  <c r="A498" i="65"/>
  <c r="C497" i="65"/>
  <c r="C496" i="65"/>
  <c r="A496" i="65"/>
  <c r="C495" i="65"/>
  <c r="C494" i="65"/>
  <c r="A494" i="65"/>
  <c r="C493" i="65"/>
  <c r="C492" i="65"/>
  <c r="A492" i="65"/>
  <c r="C491" i="65"/>
  <c r="C490" i="65"/>
  <c r="A490" i="65"/>
  <c r="C489" i="65"/>
  <c r="C488" i="65"/>
  <c r="A488" i="65"/>
  <c r="C487" i="65"/>
  <c r="C486" i="65"/>
  <c r="A486" i="65"/>
  <c r="C485" i="65"/>
  <c r="C484" i="65"/>
  <c r="A484" i="65"/>
  <c r="C483" i="65"/>
  <c r="C482" i="65"/>
  <c r="A482" i="65"/>
  <c r="C481" i="65"/>
  <c r="C480" i="65"/>
  <c r="A480" i="65"/>
  <c r="C479" i="65"/>
  <c r="C478" i="65"/>
  <c r="A478" i="65"/>
  <c r="C477" i="65"/>
  <c r="C476" i="65"/>
  <c r="A476" i="65"/>
  <c r="C475" i="65"/>
  <c r="C474" i="65"/>
  <c r="A474" i="65"/>
  <c r="C473" i="65"/>
  <c r="C472" i="65"/>
  <c r="A472" i="65"/>
  <c r="C471" i="65"/>
  <c r="C470" i="65"/>
  <c r="A470" i="65"/>
  <c r="C469" i="65"/>
  <c r="C468" i="65"/>
  <c r="A468" i="65"/>
  <c r="C467" i="65"/>
  <c r="C466" i="65"/>
  <c r="A466" i="65"/>
  <c r="C465" i="65"/>
  <c r="C464" i="65"/>
  <c r="A464" i="65"/>
  <c r="C463" i="65"/>
  <c r="C462" i="65"/>
  <c r="A462" i="65"/>
  <c r="C461" i="65"/>
  <c r="C460" i="65"/>
  <c r="A460" i="65"/>
  <c r="C459" i="65"/>
  <c r="C458" i="65"/>
  <c r="A458" i="65"/>
  <c r="C457" i="65"/>
  <c r="C456" i="65"/>
  <c r="A456" i="65"/>
  <c r="C455" i="65"/>
  <c r="C454" i="65"/>
  <c r="A454" i="65"/>
  <c r="C453" i="65"/>
  <c r="C452" i="65"/>
  <c r="A452" i="65"/>
  <c r="C451" i="65"/>
  <c r="C450" i="65"/>
  <c r="A450" i="65"/>
  <c r="C449" i="65"/>
  <c r="C448" i="65"/>
  <c r="A448" i="65"/>
  <c r="C447" i="65"/>
  <c r="C446" i="65"/>
  <c r="A446" i="65"/>
  <c r="C445" i="65"/>
  <c r="C444" i="65"/>
  <c r="A444" i="65"/>
  <c r="C443" i="65"/>
  <c r="C442" i="65"/>
  <c r="A442" i="65"/>
  <c r="C441" i="65"/>
  <c r="C440" i="65"/>
  <c r="A440" i="65"/>
  <c r="C439" i="65"/>
  <c r="C438" i="65"/>
  <c r="A438" i="65"/>
  <c r="C437" i="65"/>
  <c r="A437" i="65"/>
  <c r="C434" i="65"/>
  <c r="C433" i="65"/>
  <c r="C432" i="65"/>
  <c r="A432" i="65"/>
  <c r="C431" i="65"/>
  <c r="A431" i="65"/>
  <c r="C430" i="65"/>
  <c r="C429" i="65"/>
  <c r="A429" i="65"/>
  <c r="C428" i="65"/>
  <c r="A428" i="65"/>
  <c r="C427" i="65"/>
  <c r="A427" i="65"/>
  <c r="C426" i="65"/>
  <c r="A426" i="65"/>
  <c r="C425" i="65"/>
  <c r="C424" i="65"/>
  <c r="A424" i="65"/>
  <c r="C423" i="65"/>
  <c r="A423" i="65"/>
  <c r="C422" i="65"/>
  <c r="A422" i="65"/>
  <c r="C421" i="65"/>
  <c r="A421" i="65"/>
  <c r="C418" i="65"/>
  <c r="C417" i="65"/>
  <c r="C416" i="65"/>
  <c r="A416" i="65"/>
  <c r="C415" i="65"/>
  <c r="A415" i="65"/>
  <c r="C414" i="65"/>
  <c r="C413" i="65"/>
  <c r="A413" i="65"/>
  <c r="C412" i="65"/>
  <c r="A412" i="65"/>
  <c r="C411" i="65"/>
  <c r="A411" i="65"/>
  <c r="C410" i="65"/>
  <c r="A410" i="65"/>
  <c r="C409" i="65"/>
  <c r="C408" i="65"/>
  <c r="A408" i="65"/>
  <c r="C407" i="65"/>
  <c r="A407" i="65"/>
  <c r="C406" i="65"/>
  <c r="A406" i="65"/>
  <c r="C405" i="65"/>
  <c r="A405" i="65"/>
  <c r="C402" i="65"/>
  <c r="C401" i="65"/>
  <c r="C400" i="65"/>
  <c r="A400" i="65"/>
  <c r="C399" i="65"/>
  <c r="A399" i="65"/>
  <c r="C398" i="65"/>
  <c r="C397" i="65"/>
  <c r="A397" i="65"/>
  <c r="C396" i="65"/>
  <c r="A396" i="65"/>
  <c r="C395" i="65"/>
  <c r="A395" i="65"/>
  <c r="C394" i="65"/>
  <c r="A394" i="65"/>
  <c r="C393" i="65"/>
  <c r="C392" i="65"/>
  <c r="A392" i="65"/>
  <c r="C391" i="65"/>
  <c r="A391" i="65"/>
  <c r="C390" i="65"/>
  <c r="A390" i="65"/>
  <c r="C389" i="65"/>
  <c r="A389" i="65"/>
  <c r="C386" i="65"/>
  <c r="C385" i="65"/>
  <c r="C384" i="65"/>
  <c r="A384" i="65"/>
  <c r="C383" i="65"/>
  <c r="A383" i="65"/>
  <c r="C382" i="65"/>
  <c r="C381" i="65"/>
  <c r="A381" i="65"/>
  <c r="C380" i="65"/>
  <c r="A380" i="65"/>
  <c r="C379" i="65"/>
  <c r="A379" i="65"/>
  <c r="C378" i="65"/>
  <c r="A378" i="65"/>
  <c r="C377" i="65"/>
  <c r="C376" i="65"/>
  <c r="A376" i="65"/>
  <c r="C375" i="65"/>
  <c r="A375" i="65"/>
  <c r="C374" i="65"/>
  <c r="A374" i="65"/>
  <c r="C373" i="65"/>
  <c r="A373" i="65"/>
  <c r="C370" i="65"/>
  <c r="C369" i="65"/>
  <c r="C368" i="65"/>
  <c r="A368" i="65"/>
  <c r="C367" i="65"/>
  <c r="A367" i="65"/>
  <c r="C366" i="65"/>
  <c r="C365" i="65"/>
  <c r="A365" i="65"/>
  <c r="C364" i="65"/>
  <c r="A364" i="65"/>
  <c r="C363" i="65"/>
  <c r="A363" i="65"/>
  <c r="C362" i="65"/>
  <c r="A362" i="65"/>
  <c r="C361" i="65"/>
  <c r="C360" i="65"/>
  <c r="A360" i="65"/>
  <c r="C359" i="65"/>
  <c r="A359" i="65"/>
  <c r="C358" i="65"/>
  <c r="A358" i="65"/>
  <c r="C357" i="65"/>
  <c r="A357" i="65"/>
  <c r="C355" i="65"/>
  <c r="A355" i="65"/>
  <c r="C354" i="65"/>
  <c r="A354" i="65"/>
  <c r="C353" i="65"/>
  <c r="C352" i="65"/>
  <c r="A352" i="65"/>
  <c r="C351" i="65"/>
  <c r="A351" i="65"/>
  <c r="C350" i="65"/>
  <c r="C349" i="65"/>
  <c r="A349" i="65"/>
  <c r="C348" i="65"/>
  <c r="A348" i="65"/>
  <c r="C347" i="65"/>
  <c r="A347" i="65"/>
  <c r="C346" i="65"/>
  <c r="A346" i="65"/>
  <c r="C345" i="65"/>
  <c r="C344" i="65"/>
  <c r="A344" i="65"/>
  <c r="C343" i="65"/>
  <c r="A343" i="65"/>
  <c r="C342" i="65"/>
  <c r="A342" i="65"/>
  <c r="C341" i="65"/>
  <c r="A341" i="65"/>
  <c r="C340" i="65"/>
  <c r="C339" i="65"/>
  <c r="C338" i="65"/>
  <c r="C337" i="65"/>
  <c r="C336" i="65"/>
  <c r="A336" i="65"/>
  <c r="C335" i="65"/>
  <c r="A335" i="65"/>
  <c r="C334" i="65"/>
  <c r="C333" i="65"/>
  <c r="A333" i="65"/>
  <c r="C332" i="65"/>
  <c r="C331" i="65"/>
  <c r="C330" i="65"/>
  <c r="A330" i="65"/>
  <c r="C329" i="65"/>
  <c r="C328" i="65"/>
  <c r="A328" i="65"/>
  <c r="C326" i="65"/>
  <c r="A326" i="65"/>
  <c r="C325" i="65"/>
  <c r="A325" i="65"/>
  <c r="C324" i="65"/>
  <c r="A324" i="65"/>
  <c r="C323" i="65"/>
  <c r="A323" i="65"/>
  <c r="C322" i="65"/>
  <c r="C321" i="65"/>
  <c r="C320" i="65"/>
  <c r="A320" i="65"/>
  <c r="C318" i="65"/>
  <c r="C317" i="65"/>
  <c r="C316" i="65"/>
  <c r="A316" i="65"/>
  <c r="C315" i="65"/>
  <c r="C314" i="65"/>
  <c r="C313" i="65"/>
  <c r="C312" i="65"/>
  <c r="A312" i="65"/>
  <c r="C310" i="65"/>
  <c r="C309" i="65"/>
  <c r="A309" i="65"/>
  <c r="C308" i="65"/>
  <c r="A308" i="65"/>
  <c r="C307" i="65"/>
  <c r="A307" i="65"/>
  <c r="C306" i="65"/>
  <c r="A306" i="65"/>
  <c r="C305" i="65"/>
  <c r="C304" i="65"/>
  <c r="A304" i="65"/>
  <c r="C302" i="65"/>
  <c r="A302" i="65"/>
  <c r="C301" i="65"/>
  <c r="A301" i="65"/>
  <c r="C300" i="65"/>
  <c r="A300" i="65"/>
  <c r="C299" i="65"/>
  <c r="A299" i="65"/>
  <c r="C298" i="65"/>
  <c r="A298" i="65"/>
  <c r="C297" i="65"/>
  <c r="C296" i="65"/>
  <c r="A296" i="65"/>
  <c r="C294" i="65"/>
  <c r="C293" i="65"/>
  <c r="C292" i="65"/>
  <c r="C291" i="65"/>
  <c r="C290" i="65"/>
  <c r="C289" i="65"/>
  <c r="A288" i="65"/>
  <c r="C288" i="65"/>
  <c r="C286" i="65"/>
  <c r="C285" i="65"/>
  <c r="A284" i="65"/>
  <c r="C284" i="65"/>
  <c r="C283" i="65"/>
  <c r="C282" i="65"/>
  <c r="C281" i="65"/>
  <c r="C280" i="65"/>
  <c r="C278" i="65"/>
  <c r="C277" i="65"/>
  <c r="C276" i="65"/>
  <c r="C275" i="65"/>
  <c r="A275" i="65"/>
  <c r="C274" i="65"/>
  <c r="A274" i="65"/>
  <c r="C273" i="65"/>
  <c r="C272" i="65"/>
  <c r="A272" i="65"/>
  <c r="C270" i="65"/>
  <c r="A270" i="65"/>
  <c r="C269" i="65"/>
  <c r="A269" i="65"/>
  <c r="C268" i="65"/>
  <c r="A268" i="65"/>
  <c r="C267" i="65"/>
  <c r="A267" i="65"/>
  <c r="C266" i="65"/>
  <c r="A266" i="65"/>
  <c r="C265" i="65"/>
  <c r="A265" i="65"/>
  <c r="C264" i="65"/>
  <c r="A264" i="65"/>
  <c r="C263" i="65"/>
  <c r="A263" i="65"/>
  <c r="C262" i="65"/>
  <c r="A262" i="65"/>
  <c r="C261" i="65"/>
  <c r="A261" i="65"/>
  <c r="C260" i="65"/>
  <c r="A260" i="65"/>
  <c r="C259" i="65"/>
  <c r="A259" i="65"/>
  <c r="C258" i="65"/>
  <c r="A258" i="65"/>
  <c r="C257" i="65"/>
  <c r="A257" i="65"/>
  <c r="C256" i="65"/>
  <c r="A256" i="65"/>
  <c r="C255" i="65"/>
  <c r="A255" i="65"/>
  <c r="C254" i="65"/>
  <c r="A254" i="65"/>
  <c r="C253" i="65"/>
  <c r="A253" i="65"/>
  <c r="C252" i="65"/>
  <c r="A252" i="65"/>
  <c r="C251" i="65"/>
  <c r="A251" i="65"/>
  <c r="C250" i="65"/>
  <c r="A250" i="65"/>
  <c r="C249" i="65"/>
  <c r="A249" i="65"/>
  <c r="C248" i="65"/>
  <c r="A248" i="65"/>
  <c r="C247" i="65"/>
  <c r="A247" i="65"/>
  <c r="C246" i="65"/>
  <c r="A246" i="65"/>
  <c r="C245" i="65"/>
  <c r="A245" i="65"/>
  <c r="C244" i="65"/>
  <c r="A244" i="65"/>
  <c r="C243" i="65"/>
  <c r="A243" i="65"/>
  <c r="C242" i="65"/>
  <c r="A242" i="65"/>
  <c r="C241" i="65"/>
  <c r="A241" i="65"/>
  <c r="C240" i="65"/>
  <c r="A240" i="65"/>
  <c r="C239" i="65"/>
  <c r="A239" i="65"/>
  <c r="C238" i="65"/>
  <c r="A238" i="65"/>
  <c r="C237" i="65"/>
  <c r="A237" i="65"/>
  <c r="C236" i="65"/>
  <c r="A236" i="65"/>
  <c r="C235" i="65"/>
  <c r="A235" i="65"/>
  <c r="C234" i="65"/>
  <c r="A234" i="65"/>
  <c r="C233" i="65"/>
  <c r="A233" i="65"/>
  <c r="C232" i="65"/>
  <c r="A232" i="65"/>
  <c r="C231" i="65"/>
  <c r="A231" i="65"/>
  <c r="C230" i="65"/>
  <c r="A230" i="65"/>
  <c r="C229" i="65"/>
  <c r="A229" i="65"/>
  <c r="C228" i="65"/>
  <c r="A228" i="65"/>
  <c r="C227" i="65"/>
  <c r="A227" i="65"/>
  <c r="C226" i="65"/>
  <c r="A226" i="65"/>
  <c r="C225" i="65"/>
  <c r="A225" i="65"/>
  <c r="C224" i="65"/>
  <c r="A224" i="65"/>
  <c r="C223" i="65"/>
  <c r="A223" i="65"/>
  <c r="C222" i="65"/>
  <c r="A222" i="65"/>
  <c r="C221" i="65"/>
  <c r="A221" i="65"/>
  <c r="C220" i="65"/>
  <c r="A220" i="65"/>
  <c r="C219" i="65"/>
  <c r="A219" i="65"/>
  <c r="C218" i="65"/>
  <c r="A218" i="65"/>
  <c r="C217" i="65"/>
  <c r="A217" i="65"/>
  <c r="C216" i="65"/>
  <c r="A216" i="65"/>
  <c r="C215" i="65"/>
  <c r="A215" i="65"/>
  <c r="C214" i="65"/>
  <c r="A214" i="65"/>
  <c r="C213" i="65"/>
  <c r="A213" i="65"/>
  <c r="C212" i="65"/>
  <c r="A212" i="65"/>
  <c r="C211" i="65"/>
  <c r="A211" i="65"/>
  <c r="C210" i="65"/>
  <c r="A210" i="65"/>
  <c r="C209" i="65"/>
  <c r="A209" i="65"/>
  <c r="C208" i="65"/>
  <c r="A208" i="65"/>
  <c r="C207" i="65"/>
  <c r="A207" i="65"/>
  <c r="C206" i="65"/>
  <c r="A206" i="65"/>
  <c r="C205" i="65"/>
  <c r="A205" i="65"/>
  <c r="C204" i="65"/>
  <c r="A204" i="65"/>
  <c r="C203" i="65"/>
  <c r="A203" i="65"/>
  <c r="C202" i="65"/>
  <c r="A202" i="65"/>
  <c r="C201" i="65"/>
  <c r="A201" i="65"/>
  <c r="C200" i="65"/>
  <c r="A200" i="65"/>
  <c r="C199" i="65"/>
  <c r="A199" i="65"/>
  <c r="C198" i="65"/>
  <c r="A198" i="65"/>
  <c r="C197" i="65"/>
  <c r="A197" i="65"/>
  <c r="C196" i="65"/>
  <c r="A196" i="65"/>
  <c r="C195" i="65"/>
  <c r="A195" i="65"/>
  <c r="C194" i="65"/>
  <c r="A194" i="65"/>
  <c r="C193" i="65"/>
  <c r="A193" i="65"/>
  <c r="C192" i="65"/>
  <c r="A192" i="65"/>
  <c r="C191" i="65"/>
  <c r="A191" i="65"/>
  <c r="C190" i="65"/>
  <c r="A190" i="65"/>
  <c r="C189" i="65"/>
  <c r="A189" i="65"/>
  <c r="C188" i="65"/>
  <c r="A188" i="65"/>
  <c r="C187" i="65"/>
  <c r="A187" i="65"/>
  <c r="C186" i="65"/>
  <c r="A186" i="65"/>
  <c r="C185" i="65"/>
  <c r="A185" i="65"/>
  <c r="C184" i="65"/>
  <c r="A184" i="65"/>
  <c r="C183" i="65"/>
  <c r="A183" i="65"/>
  <c r="C182" i="65"/>
  <c r="A182" i="65"/>
  <c r="C181" i="65"/>
  <c r="A181" i="65"/>
  <c r="C180" i="65"/>
  <c r="A180" i="65"/>
  <c r="C179" i="65"/>
  <c r="C178" i="65"/>
  <c r="C177" i="65"/>
  <c r="A177" i="65"/>
  <c r="C176" i="65"/>
  <c r="A176" i="65"/>
  <c r="C175" i="65"/>
  <c r="A175" i="65"/>
  <c r="C174" i="65"/>
  <c r="A174" i="65"/>
  <c r="C173" i="65"/>
  <c r="A173" i="65"/>
  <c r="C172" i="65"/>
  <c r="A172" i="65"/>
  <c r="C171" i="65"/>
  <c r="C170" i="65"/>
  <c r="C169" i="65"/>
  <c r="A169" i="65"/>
  <c r="C168" i="65"/>
  <c r="C167" i="65"/>
  <c r="A167" i="65"/>
  <c r="C166" i="65"/>
  <c r="C165" i="65"/>
  <c r="C164" i="65"/>
  <c r="C163" i="65"/>
  <c r="A162" i="65"/>
  <c r="C161" i="65"/>
  <c r="A160" i="65"/>
  <c r="C160" i="65"/>
  <c r="C159" i="65"/>
  <c r="C158" i="65"/>
  <c r="A158" i="65"/>
  <c r="C157" i="65"/>
  <c r="A157" i="65"/>
  <c r="C156" i="65"/>
  <c r="C155" i="65"/>
  <c r="A154" i="65"/>
  <c r="C154" i="65"/>
  <c r="C153" i="65"/>
  <c r="A153" i="65"/>
  <c r="C152" i="65"/>
  <c r="A152" i="65"/>
  <c r="C151" i="65"/>
  <c r="A151" i="65"/>
  <c r="C150" i="65"/>
  <c r="A150" i="65"/>
  <c r="C149" i="65"/>
  <c r="A149" i="65"/>
  <c r="C148" i="65"/>
  <c r="A148" i="65"/>
  <c r="C147" i="65"/>
  <c r="C146" i="65"/>
  <c r="C145" i="65"/>
  <c r="A145" i="65"/>
  <c r="C144" i="65"/>
  <c r="A144" i="65"/>
  <c r="C143" i="65"/>
  <c r="A143" i="65"/>
  <c r="C142" i="65"/>
  <c r="A142" i="65"/>
  <c r="C141" i="65"/>
  <c r="A141" i="65"/>
  <c r="C140" i="65"/>
  <c r="A140" i="65"/>
  <c r="C139" i="65"/>
  <c r="C138" i="65"/>
  <c r="C137" i="65"/>
  <c r="A137" i="65"/>
  <c r="C136" i="65"/>
  <c r="C135" i="65"/>
  <c r="A135" i="65"/>
  <c r="C134" i="65"/>
  <c r="C133" i="65"/>
  <c r="C132" i="65"/>
  <c r="C131" i="65"/>
  <c r="C130" i="65"/>
  <c r="A129" i="65"/>
  <c r="C128" i="65"/>
  <c r="A128" i="65"/>
  <c r="C127" i="65"/>
  <c r="C126" i="65"/>
  <c r="C124" i="65"/>
  <c r="A124" i="65"/>
  <c r="C123" i="65"/>
  <c r="A123" i="65"/>
  <c r="C122" i="65"/>
  <c r="A122" i="65"/>
  <c r="C120" i="65"/>
  <c r="A120" i="65"/>
  <c r="C119" i="65"/>
  <c r="A119" i="65"/>
  <c r="C118" i="65"/>
  <c r="A118" i="65"/>
  <c r="C116" i="65"/>
  <c r="C115" i="65"/>
  <c r="C114" i="65"/>
  <c r="A113" i="65"/>
  <c r="C112" i="65"/>
  <c r="A112" i="65"/>
  <c r="C111" i="65"/>
  <c r="C110" i="65"/>
  <c r="C108" i="65"/>
  <c r="A108" i="65"/>
  <c r="C107" i="65"/>
  <c r="A107" i="65"/>
  <c r="C106" i="65"/>
  <c r="A106" i="65"/>
  <c r="C104" i="65"/>
  <c r="A104" i="65"/>
  <c r="C103" i="65"/>
  <c r="A103" i="65"/>
  <c r="C102" i="65"/>
  <c r="A102" i="65"/>
  <c r="C100" i="65"/>
  <c r="C99" i="65"/>
  <c r="C98" i="65"/>
  <c r="A97" i="65"/>
  <c r="C96" i="65"/>
  <c r="A96" i="65"/>
  <c r="C95" i="65"/>
  <c r="C94" i="65"/>
  <c r="C92" i="65"/>
  <c r="A92" i="65"/>
  <c r="C91" i="65"/>
  <c r="A91" i="65"/>
  <c r="C90" i="65"/>
  <c r="A90" i="65"/>
  <c r="C88" i="65"/>
  <c r="A88" i="65"/>
  <c r="C87" i="65"/>
  <c r="A87" i="65"/>
  <c r="C86" i="65"/>
  <c r="A86" i="65"/>
  <c r="C84" i="65"/>
  <c r="C83" i="65"/>
  <c r="C82" i="65"/>
  <c r="A81" i="65"/>
  <c r="C80" i="65"/>
  <c r="A80" i="65"/>
  <c r="C79" i="65"/>
  <c r="C78" i="65"/>
  <c r="C76" i="65"/>
  <c r="A76" i="65"/>
  <c r="C75" i="65"/>
  <c r="A75" i="65"/>
  <c r="C74" i="65"/>
  <c r="A74" i="65"/>
  <c r="C72" i="65"/>
  <c r="A72" i="65"/>
  <c r="C71" i="65"/>
  <c r="A71" i="65"/>
  <c r="C70" i="65"/>
  <c r="A70" i="65"/>
  <c r="C68" i="65"/>
  <c r="C67" i="65"/>
  <c r="C66" i="65"/>
  <c r="A65" i="65"/>
  <c r="C64" i="65"/>
  <c r="A64" i="65"/>
  <c r="C63" i="65"/>
  <c r="C62" i="65"/>
  <c r="C60" i="65"/>
  <c r="A60" i="65"/>
  <c r="C59" i="65"/>
  <c r="A59" i="65"/>
  <c r="C58" i="65"/>
  <c r="A58" i="65"/>
  <c r="C56" i="65"/>
  <c r="A56" i="65"/>
  <c r="C55" i="65"/>
  <c r="A55" i="65"/>
  <c r="C54" i="65"/>
  <c r="A54" i="65"/>
  <c r="C52" i="65"/>
  <c r="C51" i="65"/>
  <c r="C50" i="65"/>
  <c r="A49" i="65"/>
  <c r="C48" i="65"/>
  <c r="A48" i="65"/>
  <c r="C47" i="65"/>
  <c r="C46" i="65"/>
  <c r="C45" i="65"/>
  <c r="C44" i="65"/>
  <c r="A44" i="65"/>
  <c r="C43" i="65"/>
  <c r="A43" i="65"/>
  <c r="C42" i="65"/>
  <c r="A42" i="65"/>
  <c r="C40" i="65"/>
  <c r="A40" i="65"/>
  <c r="C39" i="65"/>
  <c r="A39" i="65"/>
  <c r="C38" i="65"/>
  <c r="A38" i="65"/>
  <c r="C36" i="65"/>
  <c r="C35" i="65"/>
  <c r="C34" i="65"/>
  <c r="A33" i="65"/>
  <c r="C32" i="65"/>
  <c r="A32" i="65"/>
  <c r="C31" i="65"/>
  <c r="C30" i="65"/>
  <c r="C28" i="65"/>
  <c r="A28" i="65"/>
  <c r="C27" i="65"/>
  <c r="A27" i="65"/>
  <c r="C26" i="65"/>
  <c r="A26" i="65"/>
  <c r="C25" i="65"/>
  <c r="C24" i="65"/>
  <c r="A24" i="65"/>
  <c r="C23" i="65"/>
  <c r="A23" i="65"/>
  <c r="C22" i="65"/>
  <c r="A22" i="65"/>
  <c r="C20" i="65"/>
  <c r="C19" i="65"/>
  <c r="C18" i="65"/>
  <c r="A17" i="65"/>
  <c r="C16" i="65"/>
  <c r="A16" i="65"/>
  <c r="C15" i="65"/>
  <c r="C14" i="65"/>
  <c r="C12" i="65"/>
  <c r="A12" i="65"/>
  <c r="C11" i="65"/>
  <c r="A11" i="65"/>
  <c r="C10" i="65"/>
  <c r="A10" i="65"/>
  <c r="D3" i="65"/>
  <c r="D2" i="65"/>
  <c r="D1" i="65"/>
  <c r="F21" i="72" l="1" a="1"/>
  <c r="A521" i="65"/>
  <c r="A530" i="65"/>
  <c r="A513" i="65"/>
  <c r="A520" i="65"/>
  <c r="A525" i="65"/>
  <c r="A512" i="65"/>
  <c r="A517" i="65"/>
  <c r="A522" i="65"/>
  <c r="A528" i="65"/>
  <c r="A608" i="65"/>
  <c r="A77" i="65"/>
  <c r="A93" i="65"/>
  <c r="A109" i="65"/>
  <c r="A125" i="65"/>
  <c r="A136" i="65"/>
  <c r="A168" i="65"/>
  <c r="A276" i="65"/>
  <c r="A280" i="65"/>
  <c r="C356" i="65"/>
  <c r="A356" i="65"/>
  <c r="C372" i="65"/>
  <c r="A372" i="65"/>
  <c r="C388" i="65"/>
  <c r="A388" i="65"/>
  <c r="C404" i="65"/>
  <c r="A404" i="65"/>
  <c r="C420" i="65"/>
  <c r="A420" i="65"/>
  <c r="C436" i="65"/>
  <c r="A436" i="65"/>
  <c r="A29" i="65"/>
  <c r="A61" i="65"/>
  <c r="A18" i="65"/>
  <c r="A34" i="65"/>
  <c r="A50" i="65"/>
  <c r="A52" i="65"/>
  <c r="A66" i="65"/>
  <c r="A67" i="65"/>
  <c r="A68" i="65"/>
  <c r="A73" i="65"/>
  <c r="A82" i="65"/>
  <c r="A83" i="65"/>
  <c r="A84" i="65"/>
  <c r="A89" i="65"/>
  <c r="A98" i="65"/>
  <c r="A99" i="65"/>
  <c r="A100" i="65"/>
  <c r="A105" i="65"/>
  <c r="A114" i="65"/>
  <c r="A115" i="65"/>
  <c r="A116" i="65"/>
  <c r="A121" i="65"/>
  <c r="A130" i="65"/>
  <c r="A132" i="65"/>
  <c r="A133" i="65"/>
  <c r="A134" i="65"/>
  <c r="A146" i="65"/>
  <c r="A164" i="65"/>
  <c r="A165" i="65"/>
  <c r="A166" i="65"/>
  <c r="A178" i="65"/>
  <c r="A277" i="65"/>
  <c r="A278" i="65"/>
  <c r="A282" i="65"/>
  <c r="A283" i="65"/>
  <c r="A292" i="65"/>
  <c r="A293" i="65"/>
  <c r="A294" i="65"/>
  <c r="A315" i="65"/>
  <c r="A339" i="65"/>
  <c r="A340" i="65"/>
  <c r="C371" i="65"/>
  <c r="A371" i="65"/>
  <c r="C387" i="65"/>
  <c r="A387" i="65"/>
  <c r="C403" i="65"/>
  <c r="A403" i="65"/>
  <c r="C419" i="65"/>
  <c r="A419" i="65"/>
  <c r="C435" i="65"/>
  <c r="A435" i="65"/>
  <c r="A13" i="65"/>
  <c r="A9" i="65"/>
  <c r="A19" i="65"/>
  <c r="A20" i="65"/>
  <c r="A35" i="65"/>
  <c r="A36" i="65"/>
  <c r="A41" i="65"/>
  <c r="A51" i="65"/>
  <c r="A57" i="65"/>
  <c r="A14" i="65"/>
  <c r="A15" i="65"/>
  <c r="A21" i="65"/>
  <c r="A30" i="65"/>
  <c r="A31" i="65"/>
  <c r="A37" i="65"/>
  <c r="A46" i="65"/>
  <c r="A47" i="65"/>
  <c r="A53" i="65"/>
  <c r="A62" i="65"/>
  <c r="A63" i="65"/>
  <c r="A69" i="65"/>
  <c r="A78" i="65"/>
  <c r="A79" i="65"/>
  <c r="A85" i="65"/>
  <c r="A94" i="65"/>
  <c r="A95" i="65"/>
  <c r="A101" i="65"/>
  <c r="A110" i="65"/>
  <c r="A111" i="65"/>
  <c r="A117" i="65"/>
  <c r="A126" i="65"/>
  <c r="A127" i="65"/>
  <c r="A138" i="65"/>
  <c r="A156" i="65"/>
  <c r="A159" i="65"/>
  <c r="A161" i="65"/>
  <c r="C162" i="65"/>
  <c r="A170" i="65"/>
  <c r="A285" i="65"/>
  <c r="A286" i="65"/>
  <c r="A291" i="65"/>
  <c r="A310" i="65"/>
  <c r="A314" i="65"/>
  <c r="A331" i="65"/>
  <c r="A332" i="65"/>
  <c r="A338" i="65"/>
  <c r="A345" i="65"/>
  <c r="A361" i="65"/>
  <c r="A377" i="65"/>
  <c r="A393" i="65"/>
  <c r="A409" i="65"/>
  <c r="A425" i="65"/>
  <c r="A439" i="65"/>
  <c r="A441" i="65"/>
  <c r="A443" i="65"/>
  <c r="A445" i="65"/>
  <c r="A447" i="65"/>
  <c r="A449" i="65"/>
  <c r="A451" i="65"/>
  <c r="A453" i="65"/>
  <c r="A455" i="65"/>
  <c r="A457" i="65"/>
  <c r="A459" i="65"/>
  <c r="A461" i="65"/>
  <c r="A463" i="65"/>
  <c r="A465" i="65"/>
  <c r="A467" i="65"/>
  <c r="A469" i="65"/>
  <c r="A471" i="65"/>
  <c r="A473" i="65"/>
  <c r="A475" i="65"/>
  <c r="A477" i="65"/>
  <c r="A479" i="65"/>
  <c r="A481" i="65"/>
  <c r="A483" i="65"/>
  <c r="A485" i="65"/>
  <c r="A487" i="65"/>
  <c r="A489" i="65"/>
  <c r="A491" i="65"/>
  <c r="A493" i="65"/>
  <c r="A495" i="65"/>
  <c r="A497" i="65"/>
  <c r="A499" i="65"/>
  <c r="A501" i="65"/>
  <c r="A503" i="65"/>
  <c r="A510" i="65"/>
  <c r="A511" i="65"/>
  <c r="A518" i="65"/>
  <c r="A519" i="65"/>
  <c r="A526" i="65"/>
  <c r="A527" i="65"/>
  <c r="A534" i="65"/>
  <c r="A540" i="65"/>
  <c r="A544" i="65"/>
  <c r="A548" i="65"/>
  <c r="A552" i="65"/>
  <c r="A556" i="65"/>
  <c r="A560" i="65"/>
  <c r="A564" i="65"/>
  <c r="A568" i="65"/>
  <c r="A572" i="65"/>
  <c r="A576" i="65"/>
  <c r="A580" i="65"/>
  <c r="A584" i="65"/>
  <c r="A588" i="65"/>
  <c r="A592" i="65"/>
  <c r="A596" i="65"/>
  <c r="A600" i="65"/>
  <c r="A604" i="65"/>
  <c r="A370" i="65"/>
  <c r="A386" i="65"/>
  <c r="A402" i="65"/>
  <c r="A418" i="65"/>
  <c r="A434" i="65"/>
  <c r="A508" i="65"/>
  <c r="A516" i="65"/>
  <c r="A524" i="65"/>
  <c r="A532" i="65"/>
  <c r="A290" i="65"/>
  <c r="A317" i="65"/>
  <c r="A318" i="65"/>
  <c r="A322" i="65"/>
  <c r="A334" i="65"/>
  <c r="A337" i="65"/>
  <c r="A350" i="65"/>
  <c r="A353" i="65"/>
  <c r="A366" i="65"/>
  <c r="A369" i="65"/>
  <c r="A382" i="65"/>
  <c r="A385" i="65"/>
  <c r="A398" i="65"/>
  <c r="A401" i="65"/>
  <c r="A414" i="65"/>
  <c r="A417" i="65"/>
  <c r="A430" i="65"/>
  <c r="A433" i="65"/>
  <c r="A507" i="65"/>
  <c r="A515" i="65"/>
  <c r="A523" i="65"/>
  <c r="A531" i="65"/>
  <c r="A538" i="65"/>
  <c r="A542" i="65"/>
  <c r="A546" i="65"/>
  <c r="A550" i="65"/>
  <c r="A554" i="65"/>
  <c r="A558" i="65"/>
  <c r="A562" i="65"/>
  <c r="A566" i="65"/>
  <c r="A570" i="65"/>
  <c r="A574" i="65"/>
  <c r="A578" i="65"/>
  <c r="A582" i="65"/>
  <c r="A586" i="65"/>
  <c r="A590" i="65"/>
  <c r="A594" i="65"/>
  <c r="A598" i="65"/>
  <c r="A602" i="65"/>
  <c r="A606" i="65"/>
  <c r="A533" i="65"/>
  <c r="A535" i="65"/>
  <c r="A537" i="65"/>
  <c r="A539" i="65"/>
  <c r="A541" i="65"/>
  <c r="A543" i="65"/>
  <c r="A545" i="65"/>
  <c r="A547" i="65"/>
  <c r="A549" i="65"/>
  <c r="A551" i="65"/>
  <c r="A553" i="65"/>
  <c r="A555" i="65"/>
  <c r="A557" i="65"/>
  <c r="A559" i="65"/>
  <c r="A561" i="65"/>
  <c r="A563" i="65"/>
  <c r="A565" i="65"/>
  <c r="A567" i="65"/>
  <c r="A569" i="65"/>
  <c r="A571" i="65"/>
  <c r="A573" i="65"/>
  <c r="A575" i="65"/>
  <c r="A577" i="65"/>
  <c r="A579" i="65"/>
  <c r="A581" i="65"/>
  <c r="A583" i="65"/>
  <c r="A585" i="65"/>
  <c r="A587" i="65"/>
  <c r="A589" i="65"/>
  <c r="A591" i="65"/>
  <c r="A593" i="65"/>
  <c r="A595" i="65"/>
  <c r="A597" i="65"/>
  <c r="A599" i="65"/>
  <c r="A601" i="65"/>
  <c r="A603" i="65"/>
  <c r="A605" i="65"/>
  <c r="A607" i="65"/>
  <c r="C608" i="65"/>
  <c r="C295" i="65"/>
  <c r="A295" i="65"/>
  <c r="A25" i="65"/>
  <c r="A45" i="65"/>
  <c r="C9" i="65"/>
  <c r="C13" i="65"/>
  <c r="C17" i="65"/>
  <c r="C21" i="65"/>
  <c r="C29" i="65"/>
  <c r="C33" i="65"/>
  <c r="C37" i="65"/>
  <c r="C41" i="65"/>
  <c r="C49" i="65"/>
  <c r="C53" i="65"/>
  <c r="C57" i="65"/>
  <c r="C61" i="65"/>
  <c r="C65" i="65"/>
  <c r="C69" i="65"/>
  <c r="C73" i="65"/>
  <c r="C77" i="65"/>
  <c r="C81" i="65"/>
  <c r="C85" i="65"/>
  <c r="C89" i="65"/>
  <c r="C93" i="65"/>
  <c r="C97" i="65"/>
  <c r="C101" i="65"/>
  <c r="C105" i="65"/>
  <c r="C109" i="65"/>
  <c r="C113" i="65"/>
  <c r="C117" i="65"/>
  <c r="C121" i="65"/>
  <c r="C125" i="65"/>
  <c r="C129" i="65"/>
  <c r="A131" i="65"/>
  <c r="A139" i="65"/>
  <c r="A147" i="65"/>
  <c r="A155" i="65"/>
  <c r="A163" i="65"/>
  <c r="A171" i="65"/>
  <c r="A179" i="65"/>
  <c r="C287" i="65"/>
  <c r="A287" i="65"/>
  <c r="C319" i="65"/>
  <c r="A319" i="65"/>
  <c r="C271" i="65"/>
  <c r="A271" i="65"/>
  <c r="C303" i="65"/>
  <c r="A303" i="65"/>
  <c r="C327" i="65"/>
  <c r="A327" i="65"/>
  <c r="C279" i="65"/>
  <c r="A279" i="65"/>
  <c r="C311" i="65"/>
  <c r="A311" i="65"/>
  <c r="A273" i="65"/>
  <c r="A281" i="65"/>
  <c r="A289" i="65"/>
  <c r="A297" i="65"/>
  <c r="A305" i="65"/>
  <c r="A313" i="65"/>
  <c r="A321" i="65"/>
  <c r="A329" i="65"/>
  <c r="P55" i="67" l="1"/>
  <c r="L55" i="67"/>
  <c r="H55" i="67"/>
  <c r="P54" i="67"/>
  <c r="L54" i="67"/>
  <c r="H54" i="67"/>
  <c r="P53" i="67"/>
  <c r="L53" i="67"/>
  <c r="H53" i="67"/>
  <c r="P52" i="67"/>
  <c r="L52" i="67"/>
  <c r="H52" i="67"/>
  <c r="P51" i="67"/>
  <c r="L51" i="67"/>
  <c r="H51" i="67"/>
  <c r="P50" i="67"/>
  <c r="L50" i="67"/>
  <c r="H50" i="67"/>
  <c r="P49" i="67"/>
  <c r="L49" i="67"/>
  <c r="H49" i="67"/>
  <c r="P48" i="67"/>
  <c r="L48" i="67"/>
  <c r="H48" i="67"/>
  <c r="O55" i="67"/>
  <c r="K55" i="67"/>
  <c r="G55" i="67"/>
  <c r="O54" i="67"/>
  <c r="K54" i="67"/>
  <c r="G54" i="67"/>
  <c r="O53" i="67"/>
  <c r="K53" i="67"/>
  <c r="G53" i="67"/>
  <c r="O52" i="67"/>
  <c r="K52" i="67"/>
  <c r="G52" i="67"/>
  <c r="O51" i="67"/>
  <c r="K51" i="67"/>
  <c r="G51" i="67"/>
  <c r="O50" i="67"/>
  <c r="K50" i="67"/>
  <c r="G50" i="67"/>
  <c r="O49" i="67"/>
  <c r="K49" i="67"/>
  <c r="G49" i="67"/>
  <c r="O48" i="67"/>
  <c r="K48" i="67"/>
  <c r="G48" i="67"/>
  <c r="A5" i="58"/>
  <c r="A4" i="58" s="1"/>
  <c r="M48" i="67"/>
  <c r="N55" i="67"/>
  <c r="J55" i="67"/>
  <c r="F55" i="67"/>
  <c r="N54" i="67"/>
  <c r="J54" i="67"/>
  <c r="F54" i="67"/>
  <c r="N53" i="67"/>
  <c r="J53" i="67"/>
  <c r="F53" i="67"/>
  <c r="N52" i="67"/>
  <c r="J52" i="67"/>
  <c r="F52" i="67"/>
  <c r="N51" i="67"/>
  <c r="J51" i="67"/>
  <c r="F51" i="67"/>
  <c r="N50" i="67"/>
  <c r="J50" i="67"/>
  <c r="F50" i="67"/>
  <c r="N49" i="67"/>
  <c r="J49" i="67"/>
  <c r="F49" i="67"/>
  <c r="N48" i="67"/>
  <c r="J48" i="67"/>
  <c r="F48" i="67"/>
  <c r="Q55" i="67"/>
  <c r="M55" i="67"/>
  <c r="I55" i="67"/>
  <c r="Q54" i="67"/>
  <c r="M54" i="67"/>
  <c r="I54" i="67"/>
  <c r="Q53" i="67"/>
  <c r="M53" i="67"/>
  <c r="I53" i="67"/>
  <c r="Q52" i="67"/>
  <c r="M52" i="67"/>
  <c r="I52" i="67"/>
  <c r="Q51" i="67"/>
  <c r="M51" i="67"/>
  <c r="I51" i="67"/>
  <c r="Q50" i="67"/>
  <c r="M50" i="67"/>
  <c r="I50" i="67"/>
  <c r="Q49" i="67"/>
  <c r="M49" i="67"/>
  <c r="I49" i="67"/>
  <c r="Q48" i="67"/>
  <c r="I48" i="67"/>
  <c r="A5" i="57"/>
  <c r="A4" i="57" s="1"/>
  <c r="A5" i="55"/>
  <c r="A4" i="55" s="1"/>
  <c r="H10" i="68"/>
  <c r="I10" i="68" s="1"/>
  <c r="P44" i="67"/>
  <c r="F45" i="67"/>
  <c r="L46" i="67"/>
  <c r="K46" i="67"/>
  <c r="J46" i="67"/>
  <c r="A3" i="56"/>
  <c r="A2" i="56" s="1"/>
  <c r="J34" i="56" s="1"/>
  <c r="B3" i="56"/>
  <c r="B2" i="56" s="1"/>
  <c r="M13" i="56" s="1"/>
  <c r="C3" i="56"/>
  <c r="J47" i="67"/>
  <c r="G44" i="67"/>
  <c r="L45" i="67"/>
  <c r="F44" i="67"/>
  <c r="P46" i="67"/>
  <c r="K45" i="67"/>
  <c r="F47" i="67"/>
  <c r="O46" i="67"/>
  <c r="J45" i="67"/>
  <c r="F46" i="67"/>
  <c r="N46" i="67"/>
  <c r="I45" i="67"/>
  <c r="N47" i="67"/>
  <c r="G45" i="67"/>
  <c r="Q44" i="67"/>
  <c r="O47" i="67"/>
  <c r="K44" i="67"/>
  <c r="M46" i="67"/>
  <c r="I46" i="67"/>
  <c r="M47" i="67"/>
  <c r="H46" i="67"/>
  <c r="N44" i="67"/>
  <c r="L47" i="67"/>
  <c r="G46" i="67"/>
  <c r="M44" i="67"/>
  <c r="K47" i="67"/>
  <c r="Q45" i="67"/>
  <c r="L44" i="67"/>
  <c r="P45" i="67"/>
  <c r="Q47" i="67"/>
  <c r="P47" i="67"/>
  <c r="Q46" i="67"/>
  <c r="H45" i="67"/>
  <c r="O44" i="67"/>
  <c r="I47" i="67"/>
  <c r="O45" i="67"/>
  <c r="J44" i="67"/>
  <c r="H47" i="67"/>
  <c r="N45" i="67"/>
  <c r="I44" i="67"/>
  <c r="G47" i="67"/>
  <c r="M45" i="67"/>
  <c r="H44" i="67"/>
  <c r="F22" i="72"/>
  <c r="F21" i="72"/>
  <c r="F29" i="72"/>
  <c r="F32" i="72"/>
  <c r="F25" i="72"/>
  <c r="F24" i="72"/>
  <c r="F28" i="72"/>
  <c r="F23" i="72"/>
  <c r="F31" i="72"/>
  <c r="F26" i="72"/>
  <c r="F27" i="72"/>
  <c r="F30" i="72"/>
  <c r="I35" i="68"/>
  <c r="J15" i="68"/>
  <c r="G27" i="68"/>
  <c r="J12" i="68"/>
  <c r="J29" i="68"/>
  <c r="H36" i="68"/>
  <c r="G12" i="68"/>
  <c r="J26" i="68"/>
  <c r="H26" i="68"/>
  <c r="I26" i="68" s="1"/>
  <c r="G35" i="68"/>
  <c r="K35" i="68"/>
  <c r="N35" i="68"/>
  <c r="J36" i="68"/>
  <c r="K36" i="68"/>
  <c r="G24" i="68"/>
  <c r="F35" i="68"/>
  <c r="L36" i="68"/>
  <c r="H25" i="68"/>
  <c r="I25" i="68" s="1"/>
  <c r="H28" i="68"/>
  <c r="I28" i="68" s="1"/>
  <c r="J24" i="68"/>
  <c r="T35" i="68"/>
  <c r="O36" i="68"/>
  <c r="P36" i="68"/>
  <c r="H29" i="68"/>
  <c r="I29" i="68" s="1"/>
  <c r="H35" i="68"/>
  <c r="H11" i="68"/>
  <c r="I11" i="68" s="1"/>
  <c r="H24" i="68"/>
  <c r="I24" i="68" s="1"/>
  <c r="J10" i="68"/>
  <c r="J28" i="68"/>
  <c r="G10" i="68"/>
  <c r="H14" i="68"/>
  <c r="I14" i="68" s="1"/>
  <c r="G29" i="68"/>
  <c r="J35" i="68"/>
  <c r="F36" i="68"/>
  <c r="G36" i="68"/>
  <c r="G13" i="68"/>
  <c r="P35" i="68"/>
  <c r="G25" i="68"/>
  <c r="J27" i="68"/>
  <c r="Q35" i="68"/>
  <c r="N36" i="68"/>
  <c r="G28" i="68"/>
  <c r="H13" i="68"/>
  <c r="I13" i="68" s="1"/>
  <c r="J25" i="68"/>
  <c r="G15" i="68"/>
  <c r="G26" i="68"/>
  <c r="J14" i="68"/>
  <c r="O35" i="68"/>
  <c r="G11" i="68"/>
  <c r="H12" i="68"/>
  <c r="I12" i="68" s="1"/>
  <c r="H15" i="68"/>
  <c r="I15" i="68" s="1"/>
  <c r="R36" i="68"/>
  <c r="H27" i="68"/>
  <c r="I27" i="68" s="1"/>
  <c r="Q36" i="68"/>
  <c r="M36" i="68"/>
  <c r="L35" i="68"/>
  <c r="J11" i="68"/>
  <c r="G14" i="68"/>
  <c r="J13" i="68"/>
  <c r="M35" i="68"/>
  <c r="R35" i="68"/>
  <c r="I36" i="68"/>
  <c r="J14" i="66"/>
  <c r="J80" i="66" s="1"/>
  <c r="F58" i="67"/>
  <c r="G12" i="66"/>
  <c r="G78" i="66" s="1"/>
  <c r="G13" i="66"/>
  <c r="G79" i="66" s="1"/>
  <c r="G15" i="66"/>
  <c r="P64" i="67"/>
  <c r="L64" i="67"/>
  <c r="H64" i="67"/>
  <c r="P59" i="67"/>
  <c r="L59" i="67"/>
  <c r="H59" i="67"/>
  <c r="P58" i="67"/>
  <c r="L58" i="67"/>
  <c r="H58" i="67"/>
  <c r="P57" i="67"/>
  <c r="L57" i="67"/>
  <c r="H57" i="67"/>
  <c r="P56" i="67"/>
  <c r="L56" i="67"/>
  <c r="H56" i="67"/>
  <c r="K64" i="67"/>
  <c r="G64" i="67"/>
  <c r="O59" i="67"/>
  <c r="G59" i="67"/>
  <c r="K58" i="67"/>
  <c r="K57" i="67"/>
  <c r="O56" i="67"/>
  <c r="G56" i="67"/>
  <c r="J64" i="67"/>
  <c r="J59" i="67"/>
  <c r="J58" i="67"/>
  <c r="J57" i="67"/>
  <c r="J56" i="67"/>
  <c r="O64" i="67"/>
  <c r="K59" i="67"/>
  <c r="O58" i="67"/>
  <c r="G58" i="67"/>
  <c r="O57" i="67"/>
  <c r="G57" i="67"/>
  <c r="K56" i="67"/>
  <c r="N59" i="67"/>
  <c r="N58" i="67"/>
  <c r="N57" i="67"/>
  <c r="N56" i="67"/>
  <c r="N64" i="67"/>
  <c r="F59" i="67"/>
  <c r="F57" i="67"/>
  <c r="F56" i="67"/>
  <c r="M57" i="67"/>
  <c r="I56" i="67"/>
  <c r="M58" i="67"/>
  <c r="I57" i="67"/>
  <c r="I59" i="67"/>
  <c r="M64" i="67"/>
  <c r="Q59" i="67"/>
  <c r="M56" i="67"/>
  <c r="I64" i="67"/>
  <c r="M59" i="67"/>
  <c r="I58" i="67"/>
  <c r="Q56" i="67"/>
  <c r="Q57" i="67"/>
  <c r="I15" i="66"/>
  <c r="H13" i="66"/>
  <c r="H79" i="66" s="1"/>
  <c r="H15" i="66"/>
  <c r="H11" i="66"/>
  <c r="H82" i="66" s="1"/>
  <c r="J15" i="66"/>
  <c r="J11" i="66"/>
  <c r="J82" i="66" s="1"/>
  <c r="I11" i="66"/>
  <c r="I82" i="66" s="1"/>
  <c r="I13" i="66"/>
  <c r="I79" i="66" s="1"/>
  <c r="J13" i="66"/>
  <c r="J79" i="66" s="1"/>
  <c r="I12" i="66"/>
  <c r="H14" i="66"/>
  <c r="H80" i="66" s="1"/>
  <c r="J12" i="66"/>
  <c r="I14" i="66"/>
  <c r="I80" i="66" s="1"/>
  <c r="H12" i="66"/>
  <c r="G11" i="66"/>
  <c r="G82" i="66" s="1"/>
  <c r="G14" i="66"/>
  <c r="G33" i="63" a="1"/>
  <c r="R33" i="63" s="1"/>
  <c r="F31" i="58" l="1"/>
  <c r="F31" i="57"/>
  <c r="B4" i="56"/>
  <c r="F14" i="56" s="1"/>
  <c r="C2" i="56"/>
  <c r="C4" i="56" s="1"/>
  <c r="A4" i="56"/>
  <c r="F15" i="56" s="1"/>
  <c r="J27" i="56"/>
  <c r="J30" i="56"/>
  <c r="J29" i="56"/>
  <c r="J31" i="56"/>
  <c r="J28" i="56"/>
  <c r="H9" i="68"/>
  <c r="V14" i="56"/>
  <c r="G16" i="56"/>
  <c r="K13" i="56"/>
  <c r="V15" i="56"/>
  <c r="G13" i="56"/>
  <c r="S13" i="56"/>
  <c r="S16" i="56"/>
  <c r="W13" i="56"/>
  <c r="M16" i="56"/>
  <c r="A3" i="67"/>
  <c r="A2" i="67" s="1"/>
  <c r="A4" i="67" s="1"/>
  <c r="E8" i="67" s="1"/>
  <c r="J16" i="56"/>
  <c r="V16" i="56"/>
  <c r="T13" i="56"/>
  <c r="T14" i="56"/>
  <c r="H14" i="56"/>
  <c r="K14" i="56"/>
  <c r="W14" i="56"/>
  <c r="H13" i="56"/>
  <c r="M14" i="56"/>
  <c r="J13" i="56"/>
  <c r="N13" i="56"/>
  <c r="S14" i="56"/>
  <c r="J14" i="56"/>
  <c r="B3" i="67"/>
  <c r="B2" i="67" s="1"/>
  <c r="V13" i="56"/>
  <c r="N14" i="56"/>
  <c r="G14" i="56"/>
  <c r="C3" i="67"/>
  <c r="C2" i="67" s="1"/>
  <c r="L10" i="68"/>
  <c r="L11" i="68" s="1"/>
  <c r="J23" i="68"/>
  <c r="I9" i="68"/>
  <c r="J9" i="68"/>
  <c r="H23" i="68"/>
  <c r="I23" i="68"/>
  <c r="L24" i="68"/>
  <c r="Q58" i="67"/>
  <c r="J78" i="66"/>
  <c r="J10" i="66"/>
  <c r="J81" i="66" s="1"/>
  <c r="H17" i="66"/>
  <c r="H78" i="66"/>
  <c r="H10" i="66"/>
  <c r="H81" i="66" s="1"/>
  <c r="I10" i="66"/>
  <c r="I81" i="66" s="1"/>
  <c r="I17" i="66"/>
  <c r="I78" i="66"/>
  <c r="G80" i="66"/>
  <c r="G17" i="66"/>
  <c r="G10" i="66"/>
  <c r="G81" i="66" s="1"/>
  <c r="I33" i="63"/>
  <c r="O33" i="63"/>
  <c r="M33" i="63"/>
  <c r="Q33" i="63"/>
  <c r="G33" i="63"/>
  <c r="K33" i="63"/>
  <c r="H33" i="63"/>
  <c r="L33" i="63"/>
  <c r="P33" i="63"/>
  <c r="J33" i="63"/>
  <c r="N33" i="63"/>
  <c r="O21" i="63"/>
  <c r="O6" i="63"/>
  <c r="A1" i="63"/>
  <c r="Q63" i="67" l="1"/>
  <c r="M63" i="67"/>
  <c r="I63" i="67"/>
  <c r="O63" i="67"/>
  <c r="K63" i="67"/>
  <c r="G63" i="67"/>
  <c r="P63" i="67"/>
  <c r="L63" i="67"/>
  <c r="H63" i="67"/>
  <c r="N63" i="67"/>
  <c r="J63" i="67"/>
  <c r="F63" i="67"/>
  <c r="Q62" i="67"/>
  <c r="M62" i="67"/>
  <c r="I62" i="67"/>
  <c r="O62" i="67"/>
  <c r="K62" i="67"/>
  <c r="G62" i="67"/>
  <c r="P62" i="67"/>
  <c r="L62" i="67"/>
  <c r="H62" i="67"/>
  <c r="N62" i="67"/>
  <c r="J62" i="67"/>
  <c r="F62" i="67"/>
  <c r="F16" i="56"/>
  <c r="E25" i="56" s="1"/>
  <c r="E8" i="61" s="1"/>
  <c r="X13" i="56"/>
  <c r="O61" i="67"/>
  <c r="J61" i="67"/>
  <c r="M61" i="67"/>
  <c r="L13" i="56"/>
  <c r="P16" i="56"/>
  <c r="P61" i="67"/>
  <c r="K61" i="67"/>
  <c r="I61" i="67"/>
  <c r="L61" i="67"/>
  <c r="G61" i="67"/>
  <c r="Q61" i="67"/>
  <c r="H61" i="67"/>
  <c r="N61" i="67"/>
  <c r="U13" i="56"/>
  <c r="Q13" i="56"/>
  <c r="P14" i="56"/>
  <c r="B4" i="67"/>
  <c r="O14" i="56"/>
  <c r="I13" i="56"/>
  <c r="P13" i="56"/>
  <c r="O13" i="56"/>
  <c r="C4" i="67"/>
  <c r="M10" i="68"/>
  <c r="O10" i="68"/>
  <c r="N10" i="68"/>
  <c r="O24" i="68"/>
  <c r="K24" i="68" s="1"/>
  <c r="M24" i="68"/>
  <c r="N24" i="68"/>
  <c r="L25" i="68"/>
  <c r="O11" i="68"/>
  <c r="K11" i="68" s="1"/>
  <c r="N11" i="68"/>
  <c r="L12" i="68"/>
  <c r="M11" i="68"/>
  <c r="Q64" i="67"/>
  <c r="F64" i="67"/>
  <c r="J83" i="66"/>
  <c r="G83" i="66"/>
  <c r="I83" i="66"/>
  <c r="H83" i="66"/>
  <c r="D27" i="63"/>
  <c r="D31" i="63"/>
  <c r="D29" i="63"/>
  <c r="D28" i="63"/>
  <c r="D30" i="63"/>
  <c r="D33" i="63"/>
  <c r="K35" i="1"/>
  <c r="W23" i="62" a="1"/>
  <c r="W33" i="62" s="1"/>
  <c r="A1" i="62"/>
  <c r="P10" i="68" l="1"/>
  <c r="K10" i="68"/>
  <c r="R13" i="56"/>
  <c r="M12" i="68"/>
  <c r="O12" i="68"/>
  <c r="K12" i="68" s="1"/>
  <c r="L13" i="68"/>
  <c r="N12" i="68"/>
  <c r="M25" i="68"/>
  <c r="L26" i="68"/>
  <c r="N25" i="68"/>
  <c r="O25" i="68"/>
  <c r="K25" i="68" s="1"/>
  <c r="W26" i="62"/>
  <c r="W30" i="62"/>
  <c r="W34" i="62"/>
  <c r="W23" i="62"/>
  <c r="W27" i="62"/>
  <c r="W31" i="62"/>
  <c r="W24" i="62"/>
  <c r="W28" i="62"/>
  <c r="W32" i="62"/>
  <c r="W25" i="62"/>
  <c r="W29" i="62"/>
  <c r="A1" i="1"/>
  <c r="A1" i="55"/>
  <c r="F31" i="59"/>
  <c r="F30" i="59"/>
  <c r="F18" i="59"/>
  <c r="F19" i="59"/>
  <c r="F20" i="59"/>
  <c r="F21" i="59"/>
  <c r="F22" i="59"/>
  <c r="F23" i="59"/>
  <c r="F24" i="59"/>
  <c r="F25" i="59"/>
  <c r="F26" i="59"/>
  <c r="F27" i="59"/>
  <c r="F17" i="59"/>
  <c r="AA8" i="56"/>
  <c r="D33" i="55" l="1"/>
  <c r="D32" i="55"/>
  <c r="D34" i="55"/>
  <c r="D35" i="55"/>
  <c r="D29" i="55"/>
  <c r="D31" i="55"/>
  <c r="D30" i="55"/>
  <c r="K17" i="1"/>
  <c r="D17" i="1"/>
  <c r="J17" i="1"/>
  <c r="N13" i="68"/>
  <c r="O13" i="68"/>
  <c r="K13" i="68" s="1"/>
  <c r="M13" i="68"/>
  <c r="L14" i="68"/>
  <c r="L27" i="68"/>
  <c r="N26" i="68"/>
  <c r="M26" i="68"/>
  <c r="O26" i="68"/>
  <c r="K26" i="68" s="1"/>
  <c r="J17" i="66"/>
  <c r="E8" i="55"/>
  <c r="E28" i="55"/>
  <c r="A1" i="61"/>
  <c r="A1" i="60"/>
  <c r="L15" i="68" l="1"/>
  <c r="O14" i="68"/>
  <c r="K14" i="68" s="1"/>
  <c r="M14" i="68"/>
  <c r="N14" i="68"/>
  <c r="L28" i="68"/>
  <c r="O27" i="68"/>
  <c r="K27" i="68" s="1"/>
  <c r="N27" i="68"/>
  <c r="M27" i="68"/>
  <c r="A1" i="59"/>
  <c r="I49" i="1"/>
  <c r="G32" i="58" l="1" a="1"/>
  <c r="G32" i="57" a="1"/>
  <c r="D32" i="59"/>
  <c r="D34" i="59"/>
  <c r="D30" i="59"/>
  <c r="D31" i="59"/>
  <c r="D33" i="59"/>
  <c r="D29" i="59"/>
  <c r="D35" i="59"/>
  <c r="S6" i="63"/>
  <c r="E8" i="63"/>
  <c r="S28" i="59"/>
  <c r="G9" i="58"/>
  <c r="S28" i="58"/>
  <c r="S6" i="57"/>
  <c r="G9" i="57"/>
  <c r="S6" i="59"/>
  <c r="S28" i="57"/>
  <c r="G9" i="59"/>
  <c r="S6" i="58"/>
  <c r="S6" i="55"/>
  <c r="S28" i="55"/>
  <c r="G9" i="55"/>
  <c r="A3" i="58" a="1"/>
  <c r="A3" i="58" s="1"/>
  <c r="A2" i="58" s="1"/>
  <c r="A3" i="61" a="1"/>
  <c r="A3" i="61" s="1"/>
  <c r="A2" i="61" s="1"/>
  <c r="F10" i="61" s="1"/>
  <c r="B3" i="55" a="1"/>
  <c r="B3" i="55" s="1"/>
  <c r="A3" i="55" a="1"/>
  <c r="A3" i="55" s="1"/>
  <c r="A3" i="57" a="1"/>
  <c r="A3" i="57" s="1"/>
  <c r="L29" i="68"/>
  <c r="M28" i="68"/>
  <c r="N28" i="68"/>
  <c r="O28" i="68"/>
  <c r="K28" i="68" s="1"/>
  <c r="L16" i="68"/>
  <c r="M15" i="68"/>
  <c r="N15" i="68"/>
  <c r="O15" i="68"/>
  <c r="K15" i="68" s="1"/>
  <c r="E28" i="58"/>
  <c r="E8" i="57"/>
  <c r="E8" i="59"/>
  <c r="E8" i="58"/>
  <c r="G32" i="59" a="1"/>
  <c r="S16" i="59" a="1"/>
  <c r="S23" i="59" s="1"/>
  <c r="G30" i="59" a="1"/>
  <c r="Q16" i="59" a="1"/>
  <c r="P16" i="59" a="1"/>
  <c r="R16" i="59" a="1"/>
  <c r="O16" i="59" a="1"/>
  <c r="N16" i="59" a="1"/>
  <c r="M16" i="59" a="1"/>
  <c r="I16" i="59" a="1"/>
  <c r="I25" i="59" s="1"/>
  <c r="L16" i="59" a="1"/>
  <c r="K16" i="59" a="1"/>
  <c r="J16" i="59" a="1"/>
  <c r="G16" i="59" a="1"/>
  <c r="G22" i="59" s="1"/>
  <c r="H16" i="59" a="1"/>
  <c r="U6" i="59"/>
  <c r="U6" i="57"/>
  <c r="E23" i="66" s="1"/>
  <c r="E30" i="55"/>
  <c r="E30" i="59"/>
  <c r="E30" i="58"/>
  <c r="E30" i="57"/>
  <c r="E28" i="59"/>
  <c r="U6" i="58"/>
  <c r="O8" i="66" s="1"/>
  <c r="E28" i="57"/>
  <c r="G10" i="59" l="1"/>
  <c r="O20" i="63"/>
  <c r="E20" i="63"/>
  <c r="E23" i="67"/>
  <c r="O8" i="63"/>
  <c r="O8" i="67"/>
  <c r="G32" i="58"/>
  <c r="Q32" i="58"/>
  <c r="H32" i="58"/>
  <c r="J32" i="58"/>
  <c r="L32" i="58"/>
  <c r="N32" i="58"/>
  <c r="P32" i="58"/>
  <c r="R32" i="58"/>
  <c r="I32" i="58"/>
  <c r="K32" i="58"/>
  <c r="M32" i="58"/>
  <c r="O32" i="58"/>
  <c r="A2" i="57"/>
  <c r="G10" i="57" s="1"/>
  <c r="L16" i="58" a="1"/>
  <c r="L23" i="58" s="1"/>
  <c r="S16" i="58" a="1"/>
  <c r="A2" i="55"/>
  <c r="G32" i="55" s="1" a="1"/>
  <c r="F31" i="55"/>
  <c r="S16" i="57" a="1"/>
  <c r="G10" i="58"/>
  <c r="I16" i="58" a="1"/>
  <c r="I23" i="58" s="1"/>
  <c r="Q16" i="58" a="1"/>
  <c r="Q26" i="58" s="1"/>
  <c r="I16" i="57" a="1"/>
  <c r="K16" i="57" a="1"/>
  <c r="M16" i="58" a="1"/>
  <c r="M25" i="58" s="1"/>
  <c r="H16" i="58" a="1"/>
  <c r="H22" i="58" s="1"/>
  <c r="P16" i="58" a="1"/>
  <c r="P27" i="58" s="1"/>
  <c r="L16" i="57" a="1"/>
  <c r="H16" i="57" a="1"/>
  <c r="P16" i="57" a="1"/>
  <c r="P22" i="57" s="1"/>
  <c r="G16" i="57" a="1"/>
  <c r="J16" i="57" a="1"/>
  <c r="G30" i="57" a="1"/>
  <c r="G16" i="58" a="1"/>
  <c r="G26" i="58" s="1"/>
  <c r="K16" i="58" a="1"/>
  <c r="K22" i="58" s="1"/>
  <c r="O16" i="58" a="1"/>
  <c r="O26" i="58" s="1"/>
  <c r="G30" i="58" a="1"/>
  <c r="L30" i="58" s="1"/>
  <c r="M16" i="57" a="1"/>
  <c r="M25" i="57" s="1"/>
  <c r="N16" i="57" a="1"/>
  <c r="O16" i="57" a="1"/>
  <c r="J16" i="58" a="1"/>
  <c r="J27" i="58" s="1"/>
  <c r="N16" i="58" a="1"/>
  <c r="N25" i="58" s="1"/>
  <c r="R16" i="58" a="1"/>
  <c r="R19" i="58" s="1"/>
  <c r="Q16" i="57" a="1"/>
  <c r="R16" i="57" a="1"/>
  <c r="F16" i="57"/>
  <c r="F16" i="58"/>
  <c r="F61" i="67"/>
  <c r="F16" i="55"/>
  <c r="G10" i="55" s="1"/>
  <c r="S27" i="58"/>
  <c r="L17" i="68"/>
  <c r="M16" i="68"/>
  <c r="N16" i="68"/>
  <c r="O16" i="68"/>
  <c r="K16" i="68" s="1"/>
  <c r="L30" i="68"/>
  <c r="N29" i="68"/>
  <c r="O29" i="68"/>
  <c r="K29" i="68" s="1"/>
  <c r="M29" i="68"/>
  <c r="S20" i="58"/>
  <c r="S16" i="58"/>
  <c r="S19" i="58"/>
  <c r="S17" i="58"/>
  <c r="S26" i="58"/>
  <c r="I22" i="58"/>
  <c r="S18" i="58"/>
  <c r="S21" i="58"/>
  <c r="S25" i="58"/>
  <c r="S23" i="58"/>
  <c r="E35" i="63"/>
  <c r="E37" i="63"/>
  <c r="S24" i="58"/>
  <c r="S22" i="58"/>
  <c r="E36" i="63"/>
  <c r="L20" i="58"/>
  <c r="I17" i="59"/>
  <c r="I27" i="59"/>
  <c r="G32" i="59"/>
  <c r="M32" i="59"/>
  <c r="Q32" i="59"/>
  <c r="N32" i="59"/>
  <c r="R32" i="59"/>
  <c r="K32" i="59"/>
  <c r="O32" i="59"/>
  <c r="L32" i="59"/>
  <c r="P32" i="59"/>
  <c r="I24" i="59"/>
  <c r="I26" i="59"/>
  <c r="G20" i="59"/>
  <c r="I22" i="59"/>
  <c r="G26" i="59"/>
  <c r="I16" i="59"/>
  <c r="I18" i="59"/>
  <c r="S26" i="59"/>
  <c r="G21" i="59"/>
  <c r="G16" i="59"/>
  <c r="I23" i="59"/>
  <c r="I21" i="59"/>
  <c r="S24" i="59"/>
  <c r="G25" i="59"/>
  <c r="G19" i="59"/>
  <c r="S21" i="59"/>
  <c r="S22" i="59"/>
  <c r="G24" i="59"/>
  <c r="G23" i="59"/>
  <c r="G18" i="59"/>
  <c r="I20" i="59"/>
  <c r="I19" i="59"/>
  <c r="S18" i="59"/>
  <c r="S20" i="59"/>
  <c r="S27" i="59"/>
  <c r="G17" i="59"/>
  <c r="G27" i="59"/>
  <c r="S25" i="59"/>
  <c r="S16" i="59"/>
  <c r="I30" i="59"/>
  <c r="M30" i="59"/>
  <c r="Q30" i="59"/>
  <c r="Q37" i="63" s="1"/>
  <c r="N30" i="59"/>
  <c r="R30" i="59"/>
  <c r="R37" i="63" s="1"/>
  <c r="G30" i="59"/>
  <c r="K30" i="59"/>
  <c r="O30" i="59"/>
  <c r="L30" i="59"/>
  <c r="P30" i="59"/>
  <c r="R26" i="59"/>
  <c r="R22" i="59"/>
  <c r="R18" i="59"/>
  <c r="R25" i="59"/>
  <c r="R21" i="59"/>
  <c r="R24" i="59"/>
  <c r="R20" i="59"/>
  <c r="R16" i="59"/>
  <c r="R27" i="59"/>
  <c r="R23" i="59"/>
  <c r="R19" i="59"/>
  <c r="P25" i="59"/>
  <c r="P21" i="59"/>
  <c r="P17" i="59"/>
  <c r="P24" i="59"/>
  <c r="P20" i="59"/>
  <c r="P16" i="59"/>
  <c r="P27" i="59"/>
  <c r="P23" i="59"/>
  <c r="P19" i="59"/>
  <c r="P26" i="59"/>
  <c r="P22" i="59"/>
  <c r="P18" i="59"/>
  <c r="Q24" i="59"/>
  <c r="Q20" i="59"/>
  <c r="Q16" i="59"/>
  <c r="Q27" i="59"/>
  <c r="Q23" i="59"/>
  <c r="Q26" i="59"/>
  <c r="Q22" i="59"/>
  <c r="Q18" i="59"/>
  <c r="Q25" i="59"/>
  <c r="Q21" i="59"/>
  <c r="Q17" i="59"/>
  <c r="N27" i="59"/>
  <c r="N23" i="59"/>
  <c r="N19" i="59"/>
  <c r="N25" i="59"/>
  <c r="N21" i="59"/>
  <c r="N17" i="59"/>
  <c r="N24" i="59"/>
  <c r="N20" i="59"/>
  <c r="N16" i="59"/>
  <c r="N26" i="59"/>
  <c r="N22" i="59"/>
  <c r="N18" i="59"/>
  <c r="M26" i="59"/>
  <c r="M22" i="59"/>
  <c r="M18" i="59"/>
  <c r="M25" i="59"/>
  <c r="M21" i="59"/>
  <c r="M17" i="59"/>
  <c r="M24" i="59"/>
  <c r="M20" i="59"/>
  <c r="M16" i="59"/>
  <c r="M27" i="59"/>
  <c r="M23" i="59"/>
  <c r="M19" i="59"/>
  <c r="O27" i="59"/>
  <c r="O23" i="59"/>
  <c r="O19" i="59"/>
  <c r="O26" i="59"/>
  <c r="O22" i="59"/>
  <c r="O18" i="59"/>
  <c r="O24" i="59"/>
  <c r="O20" i="59"/>
  <c r="O16" i="59"/>
  <c r="O25" i="59"/>
  <c r="O21" i="59"/>
  <c r="O17" i="59"/>
  <c r="J27" i="59"/>
  <c r="J23" i="59"/>
  <c r="J19" i="59"/>
  <c r="J26" i="59"/>
  <c r="J22" i="59"/>
  <c r="J18" i="59"/>
  <c r="J25" i="59"/>
  <c r="J21" i="59"/>
  <c r="J17" i="59"/>
  <c r="J24" i="59"/>
  <c r="J20" i="59"/>
  <c r="J16" i="59"/>
  <c r="L27" i="59"/>
  <c r="L23" i="59"/>
  <c r="L19" i="59"/>
  <c r="L26" i="59"/>
  <c r="L22" i="59"/>
  <c r="L18" i="59"/>
  <c r="L25" i="59"/>
  <c r="L21" i="59"/>
  <c r="L17" i="59"/>
  <c r="L24" i="59"/>
  <c r="L20" i="59"/>
  <c r="L16" i="59"/>
  <c r="K27" i="59"/>
  <c r="K23" i="59"/>
  <c r="K19" i="59"/>
  <c r="K26" i="59"/>
  <c r="K22" i="59"/>
  <c r="K18" i="59"/>
  <c r="K25" i="59"/>
  <c r="K21" i="59"/>
  <c r="K17" i="59"/>
  <c r="K24" i="59"/>
  <c r="K20" i="59"/>
  <c r="K16" i="59"/>
  <c r="H17" i="59"/>
  <c r="H21" i="59"/>
  <c r="H25" i="59"/>
  <c r="H18" i="59"/>
  <c r="H22" i="59"/>
  <c r="H26" i="59"/>
  <c r="H19" i="59"/>
  <c r="H23" i="59"/>
  <c r="H27" i="59"/>
  <c r="H16" i="59"/>
  <c r="H20" i="59"/>
  <c r="H24" i="59"/>
  <c r="P16" i="55" l="1" a="1"/>
  <c r="P18" i="55" s="1"/>
  <c r="O16" i="55" a="1"/>
  <c r="O18" i="55" s="1"/>
  <c r="K16" i="55" a="1"/>
  <c r="K27" i="55" s="1"/>
  <c r="L16" i="55" a="1"/>
  <c r="L17" i="55" s="1"/>
  <c r="M16" i="55" a="1"/>
  <c r="M20" i="55" s="1"/>
  <c r="N16" i="55" a="1"/>
  <c r="N19" i="55" s="1"/>
  <c r="Q16" i="55" a="1"/>
  <c r="Q26" i="55" s="1"/>
  <c r="I16" i="55" a="1"/>
  <c r="I21" i="55" s="1"/>
  <c r="H16" i="55" a="1"/>
  <c r="H21" i="55" s="1"/>
  <c r="G16" i="55" a="1"/>
  <c r="G22" i="55" s="1"/>
  <c r="J16" i="55" a="1"/>
  <c r="J25" i="55" s="1"/>
  <c r="N16" i="57"/>
  <c r="G22" i="57"/>
  <c r="R16" i="57"/>
  <c r="M30" i="57"/>
  <c r="H18" i="57"/>
  <c r="L27" i="58"/>
  <c r="L18" i="58"/>
  <c r="L17" i="58"/>
  <c r="L22" i="58"/>
  <c r="L24" i="58"/>
  <c r="L21" i="58"/>
  <c r="L26" i="58"/>
  <c r="L19" i="58"/>
  <c r="Q25" i="57"/>
  <c r="O19" i="57"/>
  <c r="J16" i="57"/>
  <c r="L25" i="57"/>
  <c r="K19" i="57"/>
  <c r="L25" i="58"/>
  <c r="L16" i="58"/>
  <c r="I25" i="57"/>
  <c r="G32" i="55"/>
  <c r="P32" i="55"/>
  <c r="J32" i="55"/>
  <c r="M32" i="55"/>
  <c r="N32" i="55"/>
  <c r="K32" i="55"/>
  <c r="R32" i="55"/>
  <c r="O32" i="55"/>
  <c r="H32" i="55"/>
  <c r="I32" i="55"/>
  <c r="L32" i="55"/>
  <c r="Q32" i="55"/>
  <c r="G32" i="57"/>
  <c r="I32" i="57"/>
  <c r="L32" i="57"/>
  <c r="M32" i="57"/>
  <c r="P32" i="57"/>
  <c r="Q32" i="57"/>
  <c r="J32" i="57"/>
  <c r="K32" i="57"/>
  <c r="N32" i="57"/>
  <c r="O32" i="57"/>
  <c r="R32" i="57"/>
  <c r="H32" i="57"/>
  <c r="Q20" i="58"/>
  <c r="S23" i="57"/>
  <c r="S26" i="57"/>
  <c r="S27" i="57"/>
  <c r="S21" i="57"/>
  <c r="L27" i="57"/>
  <c r="S16" i="57"/>
  <c r="S25" i="57"/>
  <c r="S20" i="57"/>
  <c r="S24" i="57"/>
  <c r="S18" i="57"/>
  <c r="S19" i="57"/>
  <c r="I18" i="58"/>
  <c r="S17" i="57"/>
  <c r="S22" i="57"/>
  <c r="K24" i="57"/>
  <c r="K18" i="57"/>
  <c r="K23" i="57"/>
  <c r="L18" i="57"/>
  <c r="K17" i="57"/>
  <c r="K22" i="57"/>
  <c r="K27" i="57"/>
  <c r="K16" i="57"/>
  <c r="K21" i="57"/>
  <c r="K26" i="57"/>
  <c r="K20" i="57"/>
  <c r="K25" i="57"/>
  <c r="I27" i="58"/>
  <c r="Q19" i="58"/>
  <c r="Q16" i="58"/>
  <c r="I26" i="58"/>
  <c r="I16" i="58"/>
  <c r="I20" i="58"/>
  <c r="I25" i="58"/>
  <c r="I19" i="58"/>
  <c r="Q25" i="58"/>
  <c r="Q24" i="58"/>
  <c r="Q21" i="58"/>
  <c r="Q23" i="58"/>
  <c r="Q22" i="58"/>
  <c r="Q17" i="58"/>
  <c r="H21" i="58"/>
  <c r="Q18" i="58"/>
  <c r="Q27" i="58"/>
  <c r="I17" i="58"/>
  <c r="I21" i="58"/>
  <c r="I24" i="58"/>
  <c r="I24" i="57"/>
  <c r="O24" i="58"/>
  <c r="P21" i="58"/>
  <c r="I23" i="57"/>
  <c r="G20" i="57"/>
  <c r="P26" i="58"/>
  <c r="I18" i="57"/>
  <c r="H26" i="58"/>
  <c r="P20" i="57"/>
  <c r="M23" i="57"/>
  <c r="G18" i="58"/>
  <c r="P25" i="57"/>
  <c r="M17" i="57"/>
  <c r="G25" i="58"/>
  <c r="H16" i="58"/>
  <c r="P26" i="57"/>
  <c r="M27" i="58"/>
  <c r="P16" i="58"/>
  <c r="P23" i="58"/>
  <c r="I22" i="57"/>
  <c r="I27" i="57"/>
  <c r="I17" i="57"/>
  <c r="P24" i="58"/>
  <c r="I26" i="57"/>
  <c r="I16" i="57"/>
  <c r="I21" i="57"/>
  <c r="G23" i="57"/>
  <c r="P18" i="58"/>
  <c r="I19" i="57"/>
  <c r="I20" i="57"/>
  <c r="G30" i="57"/>
  <c r="G36" i="63" s="1"/>
  <c r="M19" i="58"/>
  <c r="M16" i="58"/>
  <c r="H26" i="57"/>
  <c r="P25" i="58"/>
  <c r="P17" i="58"/>
  <c r="P19" i="58"/>
  <c r="N30" i="57"/>
  <c r="K25" i="58"/>
  <c r="H16" i="57"/>
  <c r="P20" i="58"/>
  <c r="P22" i="58"/>
  <c r="H21" i="57"/>
  <c r="Q30" i="58"/>
  <c r="Q35" i="63" s="1"/>
  <c r="I30" i="58"/>
  <c r="H27" i="57"/>
  <c r="H17" i="57"/>
  <c r="H22" i="57"/>
  <c r="O30" i="58"/>
  <c r="H30" i="58"/>
  <c r="M20" i="58"/>
  <c r="M21" i="58"/>
  <c r="G30" i="58"/>
  <c r="M23" i="58"/>
  <c r="L30" i="57"/>
  <c r="J30" i="57"/>
  <c r="H19" i="57"/>
  <c r="H20" i="57"/>
  <c r="H25" i="57"/>
  <c r="K30" i="57"/>
  <c r="O30" i="57"/>
  <c r="Q30" i="57"/>
  <c r="H30" i="57"/>
  <c r="R30" i="57"/>
  <c r="R36" i="63" s="1"/>
  <c r="M22" i="58"/>
  <c r="H23" i="57"/>
  <c r="H24" i="57"/>
  <c r="P30" i="57"/>
  <c r="I30" i="57"/>
  <c r="M26" i="58"/>
  <c r="M18" i="58"/>
  <c r="M24" i="58"/>
  <c r="M17" i="58"/>
  <c r="L23" i="57"/>
  <c r="R19" i="57"/>
  <c r="H19" i="58"/>
  <c r="H20" i="58"/>
  <c r="H25" i="58"/>
  <c r="J18" i="58"/>
  <c r="P19" i="57"/>
  <c r="P24" i="57"/>
  <c r="P23" i="57"/>
  <c r="M18" i="57"/>
  <c r="M27" i="57"/>
  <c r="M21" i="57"/>
  <c r="G21" i="58"/>
  <c r="H23" i="58"/>
  <c r="H24" i="58"/>
  <c r="H18" i="58"/>
  <c r="J20" i="58"/>
  <c r="P27" i="57"/>
  <c r="P17" i="57"/>
  <c r="P18" i="57"/>
  <c r="M22" i="57"/>
  <c r="M16" i="57"/>
  <c r="G17" i="58"/>
  <c r="G16" i="58"/>
  <c r="G20" i="58"/>
  <c r="H27" i="58"/>
  <c r="H17" i="58"/>
  <c r="J25" i="58"/>
  <c r="P16" i="57"/>
  <c r="P21" i="57"/>
  <c r="M26" i="57"/>
  <c r="M24" i="57"/>
  <c r="G23" i="58"/>
  <c r="G27" i="58"/>
  <c r="L20" i="57"/>
  <c r="L21" i="57"/>
  <c r="L26" i="57"/>
  <c r="J19" i="57"/>
  <c r="L16" i="57"/>
  <c r="L17" i="57"/>
  <c r="L22" i="57"/>
  <c r="J25" i="57"/>
  <c r="L19" i="57"/>
  <c r="L24" i="57"/>
  <c r="J20" i="57"/>
  <c r="N19" i="57"/>
  <c r="G19" i="57"/>
  <c r="G24" i="57"/>
  <c r="G27" i="57"/>
  <c r="G21" i="57"/>
  <c r="J18" i="57"/>
  <c r="J23" i="57"/>
  <c r="J24" i="57"/>
  <c r="O24" i="57"/>
  <c r="J17" i="57"/>
  <c r="J22" i="57"/>
  <c r="J27" i="57"/>
  <c r="O20" i="58"/>
  <c r="O22" i="57"/>
  <c r="J21" i="57"/>
  <c r="J26" i="57"/>
  <c r="O16" i="58"/>
  <c r="N17" i="57"/>
  <c r="K24" i="58"/>
  <c r="G25" i="57"/>
  <c r="G18" i="57"/>
  <c r="G26" i="57"/>
  <c r="G17" i="57"/>
  <c r="G16" i="57"/>
  <c r="R18" i="58"/>
  <c r="R17" i="58"/>
  <c r="R27" i="58"/>
  <c r="R26" i="58"/>
  <c r="R21" i="58"/>
  <c r="O22" i="58"/>
  <c r="O18" i="58"/>
  <c r="O23" i="58"/>
  <c r="O19" i="58"/>
  <c r="N26" i="58"/>
  <c r="R20" i="58"/>
  <c r="R23" i="58"/>
  <c r="O16" i="57"/>
  <c r="O18" i="57"/>
  <c r="O27" i="57"/>
  <c r="H26" i="55"/>
  <c r="K19" i="58"/>
  <c r="O27" i="58"/>
  <c r="O21" i="58"/>
  <c r="O17" i="57"/>
  <c r="O26" i="57"/>
  <c r="O25" i="58"/>
  <c r="N16" i="58"/>
  <c r="R16" i="58"/>
  <c r="R25" i="58"/>
  <c r="O21" i="57"/>
  <c r="O23" i="57"/>
  <c r="O17" i="58"/>
  <c r="K26" i="58"/>
  <c r="J22" i="58"/>
  <c r="J24" i="58"/>
  <c r="J19" i="58"/>
  <c r="R20" i="57"/>
  <c r="J26" i="58"/>
  <c r="J17" i="58"/>
  <c r="J23" i="58"/>
  <c r="J16" i="58"/>
  <c r="J21" i="58"/>
  <c r="R22" i="58"/>
  <c r="R24" i="58"/>
  <c r="R25" i="57"/>
  <c r="O20" i="57"/>
  <c r="O25" i="57"/>
  <c r="M19" i="57"/>
  <c r="M20" i="57"/>
  <c r="G24" i="58"/>
  <c r="G22" i="58"/>
  <c r="G19" i="58"/>
  <c r="N21" i="58"/>
  <c r="N27" i="57"/>
  <c r="Q20" i="57"/>
  <c r="N18" i="57"/>
  <c r="N20" i="57"/>
  <c r="K21" i="58"/>
  <c r="N26" i="57"/>
  <c r="K16" i="58"/>
  <c r="K18" i="58"/>
  <c r="K27" i="58"/>
  <c r="K17" i="58"/>
  <c r="R18" i="57"/>
  <c r="R23" i="57"/>
  <c r="R24" i="57"/>
  <c r="R17" i="57"/>
  <c r="R22" i="57"/>
  <c r="R27" i="57"/>
  <c r="R21" i="57"/>
  <c r="R26" i="57"/>
  <c r="Q22" i="57"/>
  <c r="Q26" i="57"/>
  <c r="K30" i="58"/>
  <c r="Q19" i="57"/>
  <c r="Q17" i="57"/>
  <c r="Q16" i="57"/>
  <c r="N23" i="58"/>
  <c r="N24" i="58"/>
  <c r="N18" i="58"/>
  <c r="N27" i="58"/>
  <c r="N17" i="58"/>
  <c r="N22" i="58"/>
  <c r="N22" i="57"/>
  <c r="N23" i="57"/>
  <c r="N24" i="57"/>
  <c r="N19" i="58"/>
  <c r="N20" i="58"/>
  <c r="N25" i="57"/>
  <c r="N21" i="57"/>
  <c r="K20" i="58"/>
  <c r="K23" i="58"/>
  <c r="Q23" i="57"/>
  <c r="Q24" i="57"/>
  <c r="Q21" i="57"/>
  <c r="M30" i="58"/>
  <c r="P30" i="58"/>
  <c r="Q27" i="57"/>
  <c r="Q18" i="57"/>
  <c r="N30" i="58"/>
  <c r="R30" i="58"/>
  <c r="R35" i="63" s="1"/>
  <c r="J30" i="58"/>
  <c r="P20" i="55"/>
  <c r="P27" i="55"/>
  <c r="P17" i="55"/>
  <c r="P21" i="55"/>
  <c r="P26" i="55"/>
  <c r="E9" i="63"/>
  <c r="M27" i="55"/>
  <c r="F22" i="55"/>
  <c r="F17" i="55"/>
  <c r="F23" i="55"/>
  <c r="F25" i="55"/>
  <c r="F20" i="55"/>
  <c r="F18" i="55"/>
  <c r="F24" i="55"/>
  <c r="F19" i="55"/>
  <c r="F30" i="55"/>
  <c r="F21" i="55"/>
  <c r="L31" i="68"/>
  <c r="O30" i="68"/>
  <c r="K30" i="68" s="1"/>
  <c r="N30" i="68"/>
  <c r="M30" i="68"/>
  <c r="L18" i="68"/>
  <c r="N17" i="68"/>
  <c r="O17" i="68"/>
  <c r="K17" i="68" s="1"/>
  <c r="M17" i="68"/>
  <c r="U22" i="59"/>
  <c r="W25" i="59"/>
  <c r="X27" i="59"/>
  <c r="W23" i="59"/>
  <c r="W19" i="59"/>
  <c r="V25" i="59"/>
  <c r="V24" i="59"/>
  <c r="V18" i="59"/>
  <c r="V23" i="59"/>
  <c r="W27" i="59"/>
  <c r="W17" i="59"/>
  <c r="W22" i="59"/>
  <c r="X20" i="59"/>
  <c r="X25" i="59"/>
  <c r="U27" i="59"/>
  <c r="U23" i="59"/>
  <c r="U19" i="59"/>
  <c r="U20" i="59"/>
  <c r="V17" i="59"/>
  <c r="V22" i="59"/>
  <c r="V27" i="59"/>
  <c r="W16" i="59"/>
  <c r="W21" i="59"/>
  <c r="W26" i="59"/>
  <c r="X18" i="59"/>
  <c r="X23" i="59"/>
  <c r="X24" i="59"/>
  <c r="U17" i="59"/>
  <c r="U24" i="59"/>
  <c r="U25" i="59"/>
  <c r="U16" i="59"/>
  <c r="V16" i="59"/>
  <c r="V21" i="59"/>
  <c r="V26" i="59"/>
  <c r="W20" i="59"/>
  <c r="X22" i="59"/>
  <c r="U21" i="59"/>
  <c r="U26" i="59"/>
  <c r="V20" i="59"/>
  <c r="V19" i="59"/>
  <c r="W24" i="59"/>
  <c r="W18" i="59"/>
  <c r="X26" i="59"/>
  <c r="X16" i="59"/>
  <c r="X21" i="59"/>
  <c r="U18" i="59"/>
  <c r="Q19" i="59"/>
  <c r="X19" i="59" s="1"/>
  <c r="R17" i="59"/>
  <c r="X17" i="59" s="1"/>
  <c r="R16" i="55" a="1"/>
  <c r="AA16" i="59"/>
  <c r="G37" i="63"/>
  <c r="A1" i="56"/>
  <c r="S6" i="56" s="1"/>
  <c r="M23" i="55" l="1"/>
  <c r="M25" i="55"/>
  <c r="M21" i="55"/>
  <c r="H18" i="55"/>
  <c r="M26" i="55"/>
  <c r="M24" i="55"/>
  <c r="H19" i="55"/>
  <c r="P16" i="55"/>
  <c r="G24" i="55"/>
  <c r="N24" i="55"/>
  <c r="K16" i="55"/>
  <c r="K17" i="55"/>
  <c r="K24" i="55"/>
  <c r="Q24" i="55"/>
  <c r="Q17" i="55"/>
  <c r="K23" i="55"/>
  <c r="Q23" i="55"/>
  <c r="K20" i="55"/>
  <c r="K21" i="55"/>
  <c r="M18" i="55"/>
  <c r="H27" i="55"/>
  <c r="M17" i="55"/>
  <c r="M22" i="55"/>
  <c r="P22" i="55"/>
  <c r="P23" i="55"/>
  <c r="P19" i="55"/>
  <c r="H16" i="55"/>
  <c r="H25" i="55"/>
  <c r="M19" i="55"/>
  <c r="M16" i="55"/>
  <c r="H20" i="55"/>
  <c r="H17" i="55"/>
  <c r="P24" i="55"/>
  <c r="P25" i="55"/>
  <c r="H23" i="55"/>
  <c r="H24" i="55"/>
  <c r="H22" i="55"/>
  <c r="I17" i="55"/>
  <c r="L22" i="55"/>
  <c r="O16" i="55"/>
  <c r="N22" i="55"/>
  <c r="Q20" i="55"/>
  <c r="Q19" i="55"/>
  <c r="J24" i="55"/>
  <c r="Q22" i="55"/>
  <c r="Q27" i="55"/>
  <c r="Q21" i="55"/>
  <c r="Q25" i="55"/>
  <c r="K26" i="55"/>
  <c r="K22" i="55"/>
  <c r="J26" i="55"/>
  <c r="J23" i="55"/>
  <c r="J21" i="55"/>
  <c r="J27" i="55"/>
  <c r="J18" i="55"/>
  <c r="J22" i="55"/>
  <c r="J19" i="55"/>
  <c r="Q18" i="55"/>
  <c r="J16" i="55"/>
  <c r="Q16" i="55"/>
  <c r="K19" i="55"/>
  <c r="K18" i="55"/>
  <c r="J17" i="55"/>
  <c r="J20" i="55"/>
  <c r="K25" i="55"/>
  <c r="Q36" i="63"/>
  <c r="I24" i="55"/>
  <c r="L25" i="55"/>
  <c r="L27" i="55"/>
  <c r="L23" i="55"/>
  <c r="I23" i="55"/>
  <c r="I19" i="55"/>
  <c r="L16" i="55"/>
  <c r="I22" i="55"/>
  <c r="I26" i="55"/>
  <c r="L20" i="55"/>
  <c r="L21" i="55"/>
  <c r="L18" i="55"/>
  <c r="I25" i="55"/>
  <c r="N26" i="55"/>
  <c r="G20" i="55"/>
  <c r="O23" i="55"/>
  <c r="I16" i="55"/>
  <c r="I27" i="55"/>
  <c r="L19" i="55"/>
  <c r="L26" i="55"/>
  <c r="I20" i="55"/>
  <c r="L24" i="55"/>
  <c r="I18" i="55"/>
  <c r="G26" i="55"/>
  <c r="N21" i="55"/>
  <c r="N25" i="55"/>
  <c r="G21" i="55"/>
  <c r="G23" i="55"/>
  <c r="G19" i="55"/>
  <c r="O26" i="55"/>
  <c r="O22" i="55"/>
  <c r="N16" i="55"/>
  <c r="N23" i="55"/>
  <c r="O20" i="55"/>
  <c r="G16" i="55"/>
  <c r="G27" i="55"/>
  <c r="G18" i="55"/>
  <c r="O25" i="55"/>
  <c r="O19" i="55"/>
  <c r="N27" i="55"/>
  <c r="N17" i="55"/>
  <c r="N18" i="55"/>
  <c r="N20" i="55"/>
  <c r="O21" i="55"/>
  <c r="O24" i="55"/>
  <c r="G17" i="55"/>
  <c r="G25" i="55"/>
  <c r="O17" i="55"/>
  <c r="O27" i="55"/>
  <c r="T20" i="57"/>
  <c r="J36" i="63"/>
  <c r="L19" i="68"/>
  <c r="O18" i="68"/>
  <c r="K18" i="68" s="1"/>
  <c r="M18" i="68"/>
  <c r="N18" i="68"/>
  <c r="L32" i="68"/>
  <c r="M31" i="68"/>
  <c r="O31" i="68"/>
  <c r="K31" i="68" s="1"/>
  <c r="N31" i="68"/>
  <c r="S16" i="55" a="1"/>
  <c r="G30" i="55" a="1"/>
  <c r="S17" i="59"/>
  <c r="T17" i="59" s="1"/>
  <c r="H30" i="59"/>
  <c r="S19" i="59"/>
  <c r="T19" i="59" s="1"/>
  <c r="J30" i="59"/>
  <c r="R19" i="55"/>
  <c r="R21" i="55"/>
  <c r="R22" i="55"/>
  <c r="R25" i="55"/>
  <c r="R27" i="55"/>
  <c r="R24" i="55"/>
  <c r="R16" i="55"/>
  <c r="R17" i="55"/>
  <c r="R18" i="55"/>
  <c r="R20" i="55"/>
  <c r="R26" i="55"/>
  <c r="R23" i="55"/>
  <c r="N36" i="63"/>
  <c r="P36" i="63"/>
  <c r="K35" i="63"/>
  <c r="J35" i="63"/>
  <c r="M35" i="63"/>
  <c r="N35" i="63"/>
  <c r="L36" i="63"/>
  <c r="K37" i="63"/>
  <c r="L37" i="63"/>
  <c r="K36" i="63"/>
  <c r="M37" i="63"/>
  <c r="L35" i="63"/>
  <c r="N37" i="63"/>
  <c r="P37" i="63"/>
  <c r="O35" i="63"/>
  <c r="P35" i="63"/>
  <c r="O37" i="63"/>
  <c r="M36" i="63"/>
  <c r="O36" i="63"/>
  <c r="T27" i="58"/>
  <c r="T19" i="58"/>
  <c r="T18" i="57"/>
  <c r="T17" i="57"/>
  <c r="T25" i="57"/>
  <c r="I36" i="63"/>
  <c r="H36" i="63"/>
  <c r="T23" i="57"/>
  <c r="T27" i="57"/>
  <c r="T24" i="57"/>
  <c r="T19" i="57"/>
  <c r="T26" i="57"/>
  <c r="T22" i="57"/>
  <c r="T21" i="57"/>
  <c r="T17" i="58"/>
  <c r="T24" i="58"/>
  <c r="T26" i="58"/>
  <c r="T23" i="59"/>
  <c r="T25" i="59"/>
  <c r="T26" i="59"/>
  <c r="T24" i="59"/>
  <c r="T27" i="59"/>
  <c r="T18" i="58"/>
  <c r="T21" i="59"/>
  <c r="T22" i="59"/>
  <c r="T20" i="58"/>
  <c r="T21" i="58"/>
  <c r="T22" i="58"/>
  <c r="T23" i="58"/>
  <c r="T25" i="58"/>
  <c r="I35" i="63"/>
  <c r="I37" i="63"/>
  <c r="H35" i="63"/>
  <c r="G35" i="63"/>
  <c r="J8" i="1"/>
  <c r="J37" i="63" l="1"/>
  <c r="L33" i="68"/>
  <c r="M32" i="68"/>
  <c r="N32" i="68"/>
  <c r="O32" i="68"/>
  <c r="K32" i="68" s="1"/>
  <c r="M19" i="68"/>
  <c r="O19" i="68"/>
  <c r="K19" i="68" s="1"/>
  <c r="N19" i="68"/>
  <c r="H37" i="63"/>
  <c r="T18" i="59"/>
  <c r="T20" i="59"/>
  <c r="N30" i="55"/>
  <c r="H30" i="55"/>
  <c r="P30" i="55"/>
  <c r="Q30" i="55"/>
  <c r="J30" i="55"/>
  <c r="I30" i="55"/>
  <c r="L30" i="55"/>
  <c r="G30" i="55"/>
  <c r="K30" i="55"/>
  <c r="M30" i="55"/>
  <c r="O30" i="55"/>
  <c r="R30" i="55"/>
  <c r="R34" i="63" s="1"/>
  <c r="S25" i="55"/>
  <c r="S16" i="55"/>
  <c r="S17" i="55"/>
  <c r="S20" i="55"/>
  <c r="S22" i="55"/>
  <c r="S27" i="55"/>
  <c r="S26" i="55"/>
  <c r="S23" i="55"/>
  <c r="S24" i="55"/>
  <c r="S19" i="55"/>
  <c r="S21" i="55"/>
  <c r="S18" i="55"/>
  <c r="J11" i="1"/>
  <c r="J10" i="1"/>
  <c r="J9" i="1"/>
  <c r="M33" i="68" l="1"/>
  <c r="O33" i="68"/>
  <c r="K33" i="68" s="1"/>
  <c r="N33" i="68"/>
  <c r="Q34" i="63"/>
  <c r="E12" i="59"/>
  <c r="E10" i="59"/>
  <c r="E11" i="59"/>
  <c r="E11" i="57"/>
  <c r="E11" i="58"/>
  <c r="E10" i="57"/>
  <c r="E10" i="58"/>
  <c r="E12" i="57"/>
  <c r="E12" i="58"/>
  <c r="E11" i="55"/>
  <c r="E11" i="56"/>
  <c r="E10" i="55"/>
  <c r="E10" i="56"/>
  <c r="E12" i="55"/>
  <c r="E12" i="56"/>
  <c r="R10" i="68" l="1"/>
  <c r="O9" i="68"/>
  <c r="N9" i="68"/>
  <c r="L9" i="68"/>
  <c r="L8" i="68" s="1"/>
  <c r="M9" i="68"/>
  <c r="O23" i="68"/>
  <c r="L23" i="68"/>
  <c r="N23" i="68"/>
  <c r="M23" i="68"/>
  <c r="D15" i="1"/>
  <c r="T32" i="68"/>
  <c r="U30" i="68"/>
  <c r="U32" i="68"/>
  <c r="T31" i="68"/>
  <c r="T33" i="68"/>
  <c r="U31" i="68"/>
  <c r="G31" i="57" l="1" a="1"/>
  <c r="J49" i="1"/>
  <c r="T30" i="68"/>
  <c r="T34" i="68" l="1"/>
  <c r="G31" i="58" a="1"/>
  <c r="H31" i="57"/>
  <c r="Q31" i="57"/>
  <c r="O31" i="57"/>
  <c r="K31" i="57"/>
  <c r="G31" i="57"/>
  <c r="I31" i="57"/>
  <c r="R31" i="57"/>
  <c r="L31" i="57"/>
  <c r="J31" i="57"/>
  <c r="M31" i="57"/>
  <c r="N31" i="57"/>
  <c r="P31" i="57"/>
  <c r="J32" i="59"/>
  <c r="I32" i="59"/>
  <c r="B20" i="1"/>
  <c r="B21" i="1" s="1"/>
  <c r="B22" i="1" s="1"/>
  <c r="B23" i="1" s="1"/>
  <c r="B24" i="1" s="1"/>
  <c r="B25" i="1" s="1"/>
  <c r="B26" i="1" s="1"/>
  <c r="B27" i="1" s="1"/>
  <c r="B28" i="1" s="1"/>
  <c r="B29" i="1" s="1"/>
  <c r="B30" i="1" s="1"/>
  <c r="H31" i="58" l="1"/>
  <c r="P31" i="58"/>
  <c r="I31" i="58"/>
  <c r="R31" i="58"/>
  <c r="K31" i="58"/>
  <c r="Q31" i="58"/>
  <c r="M31" i="58"/>
  <c r="N31" i="58"/>
  <c r="L31" i="58"/>
  <c r="J31" i="58"/>
  <c r="O31" i="58"/>
  <c r="G31" i="58"/>
  <c r="J6" i="1"/>
  <c r="X38" i="73" s="1"/>
  <c r="J5" i="1"/>
  <c r="E38" i="73" s="1"/>
  <c r="E37" i="71" l="1"/>
  <c r="E37" i="72"/>
  <c r="X37" i="71"/>
  <c r="X37" i="72"/>
  <c r="E38" i="68"/>
  <c r="E38" i="69"/>
  <c r="X38" i="68"/>
  <c r="X38" i="69"/>
  <c r="G31" i="55" a="1"/>
  <c r="X38" i="66"/>
  <c r="X38" i="67"/>
  <c r="E38" i="66"/>
  <c r="E38" i="67"/>
  <c r="D5" i="65"/>
  <c r="D6" i="65"/>
  <c r="E38" i="63"/>
  <c r="X38" i="63"/>
  <c r="E38" i="61"/>
  <c r="X38" i="61"/>
  <c r="X38" i="59"/>
  <c r="X37" i="60"/>
  <c r="E38" i="59"/>
  <c r="E37" i="60"/>
  <c r="E38" i="57"/>
  <c r="E38" i="58"/>
  <c r="X38" i="57"/>
  <c r="X38" i="58"/>
  <c r="X38" i="55"/>
  <c r="X36" i="56"/>
  <c r="E38" i="55"/>
  <c r="E36" i="56"/>
  <c r="G31" i="59" l="1" a="1"/>
  <c r="H32" i="59"/>
  <c r="M31" i="55"/>
  <c r="G31" i="55"/>
  <c r="I31" i="55"/>
  <c r="Q31" i="55"/>
  <c r="O31" i="55"/>
  <c r="H31" i="55"/>
  <c r="P31" i="55"/>
  <c r="L31" i="55"/>
  <c r="J31" i="55"/>
  <c r="R31" i="55"/>
  <c r="K31" i="55"/>
  <c r="N31" i="55"/>
  <c r="E7" i="63"/>
  <c r="E7" i="61"/>
  <c r="E7" i="59"/>
  <c r="E7" i="60"/>
  <c r="E7" i="57"/>
  <c r="E7" i="58"/>
  <c r="E7" i="55"/>
  <c r="E7" i="56"/>
  <c r="E37" i="58"/>
  <c r="G24" i="61" a="1"/>
  <c r="R24" i="61" s="1"/>
  <c r="K34" i="1"/>
  <c r="P6" i="55"/>
  <c r="P6" i="57"/>
  <c r="G29" i="58" a="1"/>
  <c r="I29" i="58" s="1"/>
  <c r="S24" i="61"/>
  <c r="E37" i="59"/>
  <c r="E16" i="58" a="1"/>
  <c r="E20" i="58" s="1"/>
  <c r="M12" i="56"/>
  <c r="V12" i="56"/>
  <c r="P26" i="56"/>
  <c r="G29" i="59" a="1"/>
  <c r="K29" i="59" s="1"/>
  <c r="E16" i="55" a="1"/>
  <c r="E20" i="55" s="1"/>
  <c r="E37" i="57"/>
  <c r="P12" i="56"/>
  <c r="E16" i="57" a="1"/>
  <c r="E23" i="57" s="1"/>
  <c r="P6" i="58"/>
  <c r="E16" i="59" a="1"/>
  <c r="E24" i="59" s="1"/>
  <c r="S12" i="56"/>
  <c r="G29" i="55" a="1"/>
  <c r="O29" i="55" s="1"/>
  <c r="E37" i="55"/>
  <c r="G29" i="57" a="1"/>
  <c r="G29" i="57" s="1"/>
  <c r="G12" i="56"/>
  <c r="J26" i="56"/>
  <c r="P6" i="59"/>
  <c r="I22" i="1" a="1"/>
  <c r="I22" i="1" s="1"/>
  <c r="E37" i="61"/>
  <c r="J12" i="56"/>
  <c r="N31" i="59" l="1"/>
  <c r="P31" i="59"/>
  <c r="Q31" i="59"/>
  <c r="O31" i="59"/>
  <c r="H31" i="59"/>
  <c r="I31" i="59"/>
  <c r="K31" i="59"/>
  <c r="L31" i="59"/>
  <c r="J31" i="59"/>
  <c r="R31" i="59"/>
  <c r="M31" i="59"/>
  <c r="G31" i="59"/>
  <c r="E20" i="59"/>
  <c r="E16" i="55"/>
  <c r="E25" i="55"/>
  <c r="E19" i="59"/>
  <c r="E19" i="55"/>
  <c r="E22" i="55"/>
  <c r="I31" i="1"/>
  <c r="E18" i="59"/>
  <c r="Q29" i="58"/>
  <c r="I23" i="1"/>
  <c r="E26" i="59"/>
  <c r="E16" i="59"/>
  <c r="E24" i="55"/>
  <c r="E17" i="55"/>
  <c r="N29" i="58"/>
  <c r="I29" i="1"/>
  <c r="E23" i="59"/>
  <c r="E23" i="55"/>
  <c r="E21" i="55"/>
  <c r="E27" i="55"/>
  <c r="O29" i="58"/>
  <c r="I24" i="1"/>
  <c r="I27" i="1"/>
  <c r="I28" i="1"/>
  <c r="I25" i="1"/>
  <c r="I26" i="1"/>
  <c r="I30" i="1"/>
  <c r="Q29" i="57"/>
  <c r="R29" i="57"/>
  <c r="L29" i="57"/>
  <c r="J29" i="55"/>
  <c r="I29" i="55"/>
  <c r="N29" i="55"/>
  <c r="E25" i="59"/>
  <c r="E21" i="59"/>
  <c r="E27" i="59"/>
  <c r="E20" i="57"/>
  <c r="E26" i="57"/>
  <c r="E19" i="57"/>
  <c r="P29" i="59"/>
  <c r="M29" i="59"/>
  <c r="H29" i="59"/>
  <c r="E23" i="58"/>
  <c r="E17" i="58"/>
  <c r="E19" i="58"/>
  <c r="H29" i="58"/>
  <c r="M29" i="58"/>
  <c r="R29" i="58"/>
  <c r="G24" i="61"/>
  <c r="M24" i="61"/>
  <c r="I24" i="61"/>
  <c r="K29" i="57"/>
  <c r="I29" i="57"/>
  <c r="H29" i="57"/>
  <c r="L29" i="55"/>
  <c r="K29" i="55"/>
  <c r="G29" i="55"/>
  <c r="E22" i="59"/>
  <c r="E17" i="59"/>
  <c r="E22" i="57"/>
  <c r="E27" i="57"/>
  <c r="E18" i="57"/>
  <c r="R29" i="59"/>
  <c r="O29" i="59"/>
  <c r="N29" i="59"/>
  <c r="E27" i="58"/>
  <c r="E16" i="58"/>
  <c r="E25" i="58"/>
  <c r="H24" i="61"/>
  <c r="Q24" i="61"/>
  <c r="J24" i="61"/>
  <c r="J29" i="57"/>
  <c r="O29" i="57"/>
  <c r="M29" i="57"/>
  <c r="Q29" i="55"/>
  <c r="M29" i="55"/>
  <c r="H29" i="55"/>
  <c r="E16" i="57"/>
  <c r="E25" i="57"/>
  <c r="E21" i="57"/>
  <c r="E26" i="55"/>
  <c r="E18" i="55"/>
  <c r="L29" i="59"/>
  <c r="J29" i="59"/>
  <c r="G29" i="59"/>
  <c r="E26" i="58"/>
  <c r="E24" i="58"/>
  <c r="E22" i="58"/>
  <c r="L29" i="58"/>
  <c r="P29" i="58"/>
  <c r="J29" i="58"/>
  <c r="N24" i="61"/>
  <c r="K24" i="61"/>
  <c r="O24" i="61"/>
  <c r="P29" i="57"/>
  <c r="N29" i="57"/>
  <c r="R29" i="55"/>
  <c r="P29" i="55"/>
  <c r="E17" i="57"/>
  <c r="E24" i="57"/>
  <c r="I29" i="59"/>
  <c r="Q29" i="59"/>
  <c r="E18" i="58"/>
  <c r="E21" i="58"/>
  <c r="K29" i="58"/>
  <c r="G29" i="58"/>
  <c r="P24" i="61"/>
  <c r="L24" i="61"/>
  <c r="J20" i="1" a="1"/>
  <c r="J25" i="1" s="1"/>
  <c r="K25" i="1" s="1"/>
  <c r="G9" i="61" a="1"/>
  <c r="O9" i="61" s="1"/>
  <c r="O10" i="61" s="1" a="1"/>
  <c r="E6" i="63"/>
  <c r="J19" i="1"/>
  <c r="K19" i="1" s="1"/>
  <c r="S9" i="61"/>
  <c r="O14" i="61" l="1"/>
  <c r="O19" i="61"/>
  <c r="O17" i="61"/>
  <c r="O15" i="61"/>
  <c r="O12" i="61"/>
  <c r="O18" i="61"/>
  <c r="O11" i="61"/>
  <c r="O13" i="61"/>
  <c r="O10" i="61"/>
  <c r="O16" i="61"/>
  <c r="W15" i="56"/>
  <c r="K34" i="56"/>
  <c r="K28" i="56"/>
  <c r="K16" i="56"/>
  <c r="K27" i="56"/>
  <c r="N16" i="56"/>
  <c r="K30" i="56"/>
  <c r="T16" i="56"/>
  <c r="K31" i="56"/>
  <c r="H16" i="56"/>
  <c r="K29" i="56"/>
  <c r="W16" i="56"/>
  <c r="Q13" i="57"/>
  <c r="R13" i="57"/>
  <c r="N14" i="57"/>
  <c r="N15" i="57" s="1"/>
  <c r="Q14" i="57"/>
  <c r="Q15" i="57" s="1"/>
  <c r="R14" i="57"/>
  <c r="R15" i="57" s="1"/>
  <c r="P13" i="57"/>
  <c r="M13" i="57"/>
  <c r="P14" i="57"/>
  <c r="N13" i="57"/>
  <c r="M14" i="57"/>
  <c r="K13" i="57"/>
  <c r="K14" i="57"/>
  <c r="K15" i="57" s="1"/>
  <c r="O14" i="57"/>
  <c r="O15" i="57" s="1"/>
  <c r="H13" i="57"/>
  <c r="I14" i="57"/>
  <c r="I15" i="57" s="1"/>
  <c r="L13" i="57"/>
  <c r="O13" i="57"/>
  <c r="H14" i="57"/>
  <c r="H15" i="57" s="1"/>
  <c r="S14" i="57"/>
  <c r="G13" i="57"/>
  <c r="J14" i="57"/>
  <c r="L14" i="57"/>
  <c r="L15" i="57" s="1"/>
  <c r="S13" i="57"/>
  <c r="G14" i="57"/>
  <c r="J13" i="57"/>
  <c r="I13" i="57"/>
  <c r="R13" i="59"/>
  <c r="P13" i="59"/>
  <c r="O14" i="59"/>
  <c r="O15" i="59" s="1"/>
  <c r="G14" i="59"/>
  <c r="M13" i="59"/>
  <c r="Q13" i="59"/>
  <c r="K13" i="59"/>
  <c r="N13" i="59"/>
  <c r="R14" i="59"/>
  <c r="R15" i="59" s="1"/>
  <c r="P14" i="59"/>
  <c r="O13" i="59"/>
  <c r="G13" i="59"/>
  <c r="M14" i="59"/>
  <c r="Q14" i="59"/>
  <c r="Q15" i="59" s="1"/>
  <c r="H14" i="59"/>
  <c r="H15" i="59" s="1"/>
  <c r="J14" i="59"/>
  <c r="L13" i="59"/>
  <c r="K14" i="59"/>
  <c r="K15" i="59" s="1"/>
  <c r="I13" i="59"/>
  <c r="S14" i="59"/>
  <c r="N14" i="59"/>
  <c r="N15" i="59" s="1"/>
  <c r="H13" i="59"/>
  <c r="J13" i="59"/>
  <c r="L14" i="59"/>
  <c r="L15" i="59" s="1"/>
  <c r="I14" i="59"/>
  <c r="I15" i="59" s="1"/>
  <c r="S13" i="59"/>
  <c r="L13" i="58"/>
  <c r="H14" i="58"/>
  <c r="H15" i="58" s="1"/>
  <c r="M14" i="58"/>
  <c r="Q14" i="58"/>
  <c r="Q15" i="58" s="1"/>
  <c r="I14" i="58"/>
  <c r="I15" i="58" s="1"/>
  <c r="N14" i="58"/>
  <c r="N15" i="58" s="1"/>
  <c r="L14" i="58"/>
  <c r="L15" i="58" s="1"/>
  <c r="M13" i="58"/>
  <c r="I13" i="58"/>
  <c r="S14" i="58"/>
  <c r="J13" i="58"/>
  <c r="P13" i="58"/>
  <c r="R14" i="58"/>
  <c r="R15" i="58" s="1"/>
  <c r="O14" i="58"/>
  <c r="O15" i="58" s="1"/>
  <c r="K14" i="58"/>
  <c r="K15" i="58" s="1"/>
  <c r="G14" i="58"/>
  <c r="S13" i="58"/>
  <c r="J14" i="58"/>
  <c r="P14" i="58"/>
  <c r="R13" i="58"/>
  <c r="O13" i="58"/>
  <c r="K13" i="58"/>
  <c r="G13" i="58"/>
  <c r="H13" i="58"/>
  <c r="Q13" i="58"/>
  <c r="N13" i="58"/>
  <c r="O25" i="61" a="1"/>
  <c r="V25" i="57"/>
  <c r="E6" i="58"/>
  <c r="U20" i="57"/>
  <c r="W26" i="57"/>
  <c r="E6" i="61"/>
  <c r="V16" i="58"/>
  <c r="E6" i="56"/>
  <c r="E6" i="57"/>
  <c r="U25" i="58"/>
  <c r="U27" i="58"/>
  <c r="U26" i="58"/>
  <c r="U21" i="58"/>
  <c r="U23" i="58"/>
  <c r="U22" i="58"/>
  <c r="U20" i="58"/>
  <c r="U17" i="58"/>
  <c r="U18" i="58"/>
  <c r="U24" i="58"/>
  <c r="V21" i="57"/>
  <c r="V26" i="57"/>
  <c r="V24" i="57"/>
  <c r="V23" i="57"/>
  <c r="V27" i="57"/>
  <c r="V18" i="57"/>
  <c r="V20" i="57"/>
  <c r="V22" i="57"/>
  <c r="V16" i="57"/>
  <c r="X18" i="58"/>
  <c r="X19" i="58"/>
  <c r="X26" i="58"/>
  <c r="X17" i="58"/>
  <c r="X22" i="58"/>
  <c r="X25" i="58"/>
  <c r="X16" i="58"/>
  <c r="X20" i="58"/>
  <c r="X23" i="58"/>
  <c r="X21" i="58"/>
  <c r="X27" i="58"/>
  <c r="X16" i="57"/>
  <c r="X25" i="57"/>
  <c r="X22" i="57"/>
  <c r="X23" i="57"/>
  <c r="X24" i="57"/>
  <c r="X26" i="57"/>
  <c r="X21" i="57"/>
  <c r="X20" i="57"/>
  <c r="X27" i="57"/>
  <c r="X17" i="57"/>
  <c r="X24" i="58"/>
  <c r="V26" i="58"/>
  <c r="V24" i="58"/>
  <c r="V27" i="58"/>
  <c r="V20" i="58"/>
  <c r="V22" i="58"/>
  <c r="V18" i="58"/>
  <c r="V17" i="58"/>
  <c r="V25" i="58"/>
  <c r="V23" i="58"/>
  <c r="V21" i="58"/>
  <c r="W26" i="58"/>
  <c r="W23" i="58"/>
  <c r="W18" i="58"/>
  <c r="W25" i="58"/>
  <c r="W19" i="58"/>
  <c r="W22" i="58"/>
  <c r="W16" i="58"/>
  <c r="W24" i="58"/>
  <c r="W21" i="58"/>
  <c r="W17" i="58"/>
  <c r="W20" i="58"/>
  <c r="W22" i="57"/>
  <c r="W18" i="57"/>
  <c r="W24" i="57"/>
  <c r="W23" i="57"/>
  <c r="W16" i="57"/>
  <c r="W25" i="57"/>
  <c r="W21" i="57"/>
  <c r="W17" i="57"/>
  <c r="W27" i="57"/>
  <c r="W20" i="57"/>
  <c r="U17" i="57"/>
  <c r="U22" i="57"/>
  <c r="U26" i="57"/>
  <c r="U18" i="57"/>
  <c r="U23" i="57"/>
  <c r="U25" i="57"/>
  <c r="U24" i="57"/>
  <c r="U27" i="57"/>
  <c r="U21" i="57"/>
  <c r="V17" i="57"/>
  <c r="W27" i="58"/>
  <c r="X18" i="57"/>
  <c r="E6" i="60"/>
  <c r="E6" i="55"/>
  <c r="H9" i="61"/>
  <c r="H10" i="61" s="1" a="1"/>
  <c r="G9" i="61"/>
  <c r="G10" i="61" s="1" a="1"/>
  <c r="I9" i="61"/>
  <c r="I10" i="61" s="1" a="1"/>
  <c r="R9" i="61"/>
  <c r="R10" i="61" s="1" a="1"/>
  <c r="N9" i="61"/>
  <c r="N10" i="61" s="1" a="1"/>
  <c r="L9" i="61"/>
  <c r="L10" i="61" s="1" a="1"/>
  <c r="J9" i="61"/>
  <c r="J10" i="61" s="1" a="1"/>
  <c r="P9" i="61"/>
  <c r="P10" i="61" s="1" a="1"/>
  <c r="M9" i="61"/>
  <c r="M10" i="61" s="1" a="1"/>
  <c r="K9" i="61"/>
  <c r="K10" i="61" s="1" a="1"/>
  <c r="E6" i="59"/>
  <c r="Q9" i="61"/>
  <c r="Q10" i="61" s="1" a="1"/>
  <c r="J31" i="1"/>
  <c r="K31" i="1" s="1"/>
  <c r="J20" i="1"/>
  <c r="K20" i="1" s="1"/>
  <c r="J23" i="1"/>
  <c r="K23" i="1" s="1"/>
  <c r="J29" i="1"/>
  <c r="K29" i="1" s="1"/>
  <c r="J21" i="1"/>
  <c r="K21" i="1" s="1"/>
  <c r="J22" i="1"/>
  <c r="K22" i="1" s="1"/>
  <c r="J32" i="1"/>
  <c r="K32" i="1" s="1"/>
  <c r="J30" i="1"/>
  <c r="K30" i="1" s="1"/>
  <c r="J27" i="1"/>
  <c r="K27" i="1" s="1"/>
  <c r="J28" i="1"/>
  <c r="K28" i="1" s="1"/>
  <c r="J24" i="1"/>
  <c r="K24" i="1" s="1"/>
  <c r="J26" i="1"/>
  <c r="K26" i="1" s="1"/>
  <c r="J17" i="56"/>
  <c r="P30" i="56"/>
  <c r="K12" i="61" l="1"/>
  <c r="K13" i="61"/>
  <c r="K15" i="61"/>
  <c r="K17" i="61"/>
  <c r="K14" i="61"/>
  <c r="K11" i="61"/>
  <c r="K10" i="61"/>
  <c r="K16" i="61"/>
  <c r="K18" i="61"/>
  <c r="K19" i="61"/>
  <c r="M12" i="61"/>
  <c r="M19" i="61"/>
  <c r="M13" i="61"/>
  <c r="M18" i="61"/>
  <c r="M10" i="61"/>
  <c r="M16" i="61"/>
  <c r="M15" i="61"/>
  <c r="M17" i="61"/>
  <c r="M11" i="61"/>
  <c r="M14" i="61"/>
  <c r="N11" i="61"/>
  <c r="N19" i="61"/>
  <c r="N10" i="61"/>
  <c r="N18" i="61"/>
  <c r="N14" i="61"/>
  <c r="N17" i="61"/>
  <c r="N13" i="61"/>
  <c r="N12" i="61"/>
  <c r="N16" i="61"/>
  <c r="N15" i="61"/>
  <c r="H11" i="61"/>
  <c r="H12" i="61"/>
  <c r="H19" i="61"/>
  <c r="H18" i="61"/>
  <c r="H10" i="61"/>
  <c r="H13" i="61"/>
  <c r="H14" i="61"/>
  <c r="H17" i="61"/>
  <c r="H15" i="61"/>
  <c r="H16" i="61"/>
  <c r="R11" i="61"/>
  <c r="R10" i="61"/>
  <c r="R13" i="61"/>
  <c r="R14" i="61"/>
  <c r="R17" i="61"/>
  <c r="R16" i="61"/>
  <c r="R19" i="61"/>
  <c r="R12" i="61"/>
  <c r="R18" i="61"/>
  <c r="R15" i="61"/>
  <c r="Q10" i="61"/>
  <c r="Q12" i="61"/>
  <c r="Q15" i="61"/>
  <c r="Q14" i="61"/>
  <c r="Q16" i="61"/>
  <c r="Q19" i="61"/>
  <c r="Q18" i="61"/>
  <c r="Q11" i="61"/>
  <c r="Q17" i="61"/>
  <c r="Q13" i="61"/>
  <c r="P19" i="61"/>
  <c r="P18" i="61"/>
  <c r="P17" i="61"/>
  <c r="P15" i="61"/>
  <c r="P14" i="61"/>
  <c r="P11" i="61"/>
  <c r="P12" i="61"/>
  <c r="P10" i="61"/>
  <c r="P13" i="61"/>
  <c r="P16" i="61"/>
  <c r="J11" i="61"/>
  <c r="J17" i="61"/>
  <c r="J15" i="61"/>
  <c r="J18" i="61"/>
  <c r="J19" i="61"/>
  <c r="J16" i="61"/>
  <c r="J12" i="61"/>
  <c r="J10" i="61"/>
  <c r="J14" i="61"/>
  <c r="J13" i="61"/>
  <c r="I17" i="61"/>
  <c r="I15" i="61"/>
  <c r="I16" i="61"/>
  <c r="I10" i="61"/>
  <c r="I12" i="61"/>
  <c r="I11" i="61"/>
  <c r="I13" i="61"/>
  <c r="I14" i="61"/>
  <c r="I18" i="61"/>
  <c r="I19" i="61"/>
  <c r="L15" i="61"/>
  <c r="L12" i="61"/>
  <c r="L17" i="61"/>
  <c r="L18" i="61"/>
  <c r="L10" i="61"/>
  <c r="L11" i="61"/>
  <c r="L14" i="61"/>
  <c r="L13" i="61"/>
  <c r="L19" i="61"/>
  <c r="L16" i="61"/>
  <c r="G11" i="61"/>
  <c r="G13" i="61"/>
  <c r="G10" i="61"/>
  <c r="G17" i="61"/>
  <c r="G15" i="61"/>
  <c r="G12" i="61"/>
  <c r="G19" i="61"/>
  <c r="G14" i="61"/>
  <c r="G18" i="61"/>
  <c r="G16" i="61"/>
  <c r="Q16" i="56"/>
  <c r="W13" i="58"/>
  <c r="W14" i="58"/>
  <c r="W15" i="58" s="1"/>
  <c r="X14" i="58"/>
  <c r="X15" i="58" s="1"/>
  <c r="X13" i="58"/>
  <c r="P25" i="61" a="1"/>
  <c r="R25" i="61" a="1"/>
  <c r="O27" i="61"/>
  <c r="O31" i="61"/>
  <c r="O30" i="61"/>
  <c r="O32" i="61"/>
  <c r="O25" i="61"/>
  <c r="O29" i="61"/>
  <c r="O28" i="61"/>
  <c r="O26" i="61"/>
  <c r="J25" i="61" a="1"/>
  <c r="I25" i="61" a="1"/>
  <c r="T26" i="55"/>
  <c r="T27" i="55"/>
  <c r="T19" i="55"/>
  <c r="K25" i="61" a="1"/>
  <c r="L25" i="61" a="1"/>
  <c r="H38" i="61"/>
  <c r="G25" i="61" a="1"/>
  <c r="Q25" i="61" a="1"/>
  <c r="M25" i="61" a="1"/>
  <c r="N25" i="61" a="1"/>
  <c r="H25" i="61" a="1"/>
  <c r="Z16" i="63"/>
  <c r="P15" i="58"/>
  <c r="M15" i="58"/>
  <c r="S15" i="57"/>
  <c r="G15" i="57"/>
  <c r="U19" i="57"/>
  <c r="U14" i="57" s="1"/>
  <c r="J15" i="57"/>
  <c r="V19" i="57"/>
  <c r="V13" i="57" s="1"/>
  <c r="U16" i="58"/>
  <c r="S15" i="58"/>
  <c r="P15" i="59"/>
  <c r="X14" i="59"/>
  <c r="S15" i="59"/>
  <c r="W19" i="57"/>
  <c r="W14" i="57" s="1"/>
  <c r="M15" i="57"/>
  <c r="P15" i="57"/>
  <c r="X19" i="57"/>
  <c r="X14" i="57" s="1"/>
  <c r="S33" i="61"/>
  <c r="J15" i="59"/>
  <c r="V13" i="59"/>
  <c r="G15" i="59"/>
  <c r="U13" i="59"/>
  <c r="M15" i="59"/>
  <c r="W14" i="59"/>
  <c r="U16" i="57"/>
  <c r="J15" i="58"/>
  <c r="V19" i="58"/>
  <c r="V13" i="58" s="1"/>
  <c r="S35" i="61"/>
  <c r="G15" i="58"/>
  <c r="U19" i="58"/>
  <c r="U14" i="58" s="1"/>
  <c r="P27" i="56"/>
  <c r="P29" i="56"/>
  <c r="V18" i="56"/>
  <c r="E21" i="63" l="1"/>
  <c r="U13" i="58"/>
  <c r="U13" i="57"/>
  <c r="L34" i="63"/>
  <c r="M34" i="63"/>
  <c r="V14" i="58"/>
  <c r="V15" i="58" s="1"/>
  <c r="V14" i="57"/>
  <c r="V15" i="57" s="1"/>
  <c r="U14" i="59"/>
  <c r="U15" i="59" s="1"/>
  <c r="W13" i="59"/>
  <c r="X13" i="57"/>
  <c r="W13" i="57"/>
  <c r="X13" i="59"/>
  <c r="V14" i="59"/>
  <c r="V15" i="59" s="1"/>
  <c r="K34" i="63"/>
  <c r="O34" i="63"/>
  <c r="T24" i="55"/>
  <c r="T20" i="55"/>
  <c r="T21" i="55"/>
  <c r="T22" i="55"/>
  <c r="P34" i="63"/>
  <c r="N34" i="63"/>
  <c r="T23" i="55"/>
  <c r="T25" i="55"/>
  <c r="R13" i="55"/>
  <c r="R14" i="55"/>
  <c r="R15" i="55" s="1"/>
  <c r="M13" i="55"/>
  <c r="M14" i="55"/>
  <c r="M15" i="55" s="1"/>
  <c r="Q13" i="55"/>
  <c r="Q14" i="55"/>
  <c r="Q15" i="55" s="1"/>
  <c r="P14" i="55"/>
  <c r="P15" i="55" s="1"/>
  <c r="P13" i="55"/>
  <c r="H14" i="55"/>
  <c r="H15" i="55" s="1"/>
  <c r="H13" i="55"/>
  <c r="L14" i="55"/>
  <c r="L15" i="55" s="1"/>
  <c r="L13" i="55"/>
  <c r="K14" i="55"/>
  <c r="K15" i="55" s="1"/>
  <c r="K13" i="55"/>
  <c r="I13" i="55"/>
  <c r="I14" i="55"/>
  <c r="I15" i="55" s="1"/>
  <c r="O14" i="55"/>
  <c r="O15" i="55" s="1"/>
  <c r="O13" i="55"/>
  <c r="S13" i="55"/>
  <c r="S14" i="55"/>
  <c r="S15" i="55" s="1"/>
  <c r="N13" i="55"/>
  <c r="N14" i="55"/>
  <c r="N15" i="55" s="1"/>
  <c r="J13" i="55"/>
  <c r="J14" i="55"/>
  <c r="J15" i="55" s="1"/>
  <c r="G14" i="55"/>
  <c r="G15" i="55" s="1"/>
  <c r="G13" i="55"/>
  <c r="T17" i="55"/>
  <c r="T18" i="55"/>
  <c r="J34" i="63"/>
  <c r="K27" i="61"/>
  <c r="K31" i="61"/>
  <c r="K26" i="61"/>
  <c r="K28" i="61"/>
  <c r="K32" i="61"/>
  <c r="K29" i="61"/>
  <c r="K30" i="61"/>
  <c r="K25" i="61"/>
  <c r="N29" i="61"/>
  <c r="N32" i="61"/>
  <c r="N30" i="61"/>
  <c r="N28" i="61"/>
  <c r="N26" i="61"/>
  <c r="N31" i="61"/>
  <c r="N27" i="61"/>
  <c r="N25" i="61"/>
  <c r="J26" i="61"/>
  <c r="J32" i="61"/>
  <c r="J29" i="61"/>
  <c r="J25" i="61"/>
  <c r="J30" i="61"/>
  <c r="J27" i="61"/>
  <c r="J31" i="61"/>
  <c r="J28" i="61"/>
  <c r="P27" i="61"/>
  <c r="P26" i="61"/>
  <c r="P25" i="61"/>
  <c r="P28" i="61"/>
  <c r="P31" i="61"/>
  <c r="P29" i="61"/>
  <c r="P30" i="61"/>
  <c r="P32" i="61"/>
  <c r="Q30" i="61"/>
  <c r="Q27" i="61"/>
  <c r="Q28" i="61"/>
  <c r="Q31" i="61"/>
  <c r="Q26" i="61"/>
  <c r="Q29" i="61"/>
  <c r="Q32" i="61"/>
  <c r="Q25" i="61"/>
  <c r="I29" i="61"/>
  <c r="I32" i="61"/>
  <c r="I27" i="61"/>
  <c r="I26" i="61"/>
  <c r="I30" i="61"/>
  <c r="I31" i="61"/>
  <c r="I25" i="61"/>
  <c r="I28" i="61"/>
  <c r="R29" i="61"/>
  <c r="R28" i="61"/>
  <c r="R30" i="61"/>
  <c r="R32" i="61"/>
  <c r="R25" i="61"/>
  <c r="R27" i="61"/>
  <c r="R26" i="61"/>
  <c r="R31" i="61"/>
  <c r="H31" i="61"/>
  <c r="H30" i="61"/>
  <c r="H26" i="61"/>
  <c r="H28" i="61"/>
  <c r="H29" i="61"/>
  <c r="H27" i="61"/>
  <c r="H32" i="61"/>
  <c r="H25" i="61"/>
  <c r="M27" i="61"/>
  <c r="M29" i="61"/>
  <c r="M25" i="61"/>
  <c r="M26" i="61"/>
  <c r="M30" i="61"/>
  <c r="M31" i="61"/>
  <c r="M28" i="61"/>
  <c r="M32" i="61"/>
  <c r="G32" i="61"/>
  <c r="G31" i="61"/>
  <c r="G29" i="61"/>
  <c r="G30" i="61"/>
  <c r="G28" i="61"/>
  <c r="G26" i="61"/>
  <c r="G27" i="61"/>
  <c r="G25" i="61"/>
  <c r="L32" i="61"/>
  <c r="L27" i="61"/>
  <c r="L28" i="61"/>
  <c r="L25" i="61"/>
  <c r="L31" i="61"/>
  <c r="L29" i="61"/>
  <c r="L30" i="61"/>
  <c r="L26" i="61"/>
  <c r="I34" i="63"/>
  <c r="H34" i="63"/>
  <c r="G34" i="63"/>
  <c r="O9" i="63"/>
  <c r="N34" i="57"/>
  <c r="N35" i="57" s="1"/>
  <c r="O33" i="58"/>
  <c r="U24" i="55"/>
  <c r="U27" i="55"/>
  <c r="W19" i="55"/>
  <c r="X23" i="55"/>
  <c r="U17" i="55"/>
  <c r="U19" i="55"/>
  <c r="N33" i="57"/>
  <c r="W20" i="55"/>
  <c r="X17" i="55"/>
  <c r="X16" i="55"/>
  <c r="U26" i="55"/>
  <c r="W24" i="55"/>
  <c r="V18" i="55"/>
  <c r="V16" i="55"/>
  <c r="W16" i="55"/>
  <c r="U20" i="55"/>
  <c r="W27" i="55"/>
  <c r="W26" i="55"/>
  <c r="V22" i="55"/>
  <c r="X25" i="55"/>
  <c r="W18" i="55"/>
  <c r="X18" i="55"/>
  <c r="V25" i="55"/>
  <c r="V26" i="55"/>
  <c r="X21" i="55"/>
  <c r="X24" i="55"/>
  <c r="V24" i="55"/>
  <c r="W21" i="55"/>
  <c r="X27" i="55"/>
  <c r="U25" i="55"/>
  <c r="X26" i="55"/>
  <c r="U23" i="55"/>
  <c r="U22" i="55"/>
  <c r="U21" i="55"/>
  <c r="W23" i="55"/>
  <c r="X20" i="55"/>
  <c r="V27" i="55"/>
  <c r="W17" i="55"/>
  <c r="V23" i="55"/>
  <c r="X22" i="55"/>
  <c r="U18" i="55"/>
  <c r="W22" i="55"/>
  <c r="W25" i="55"/>
  <c r="V21" i="55"/>
  <c r="V17" i="55"/>
  <c r="U16" i="55"/>
  <c r="X15" i="57"/>
  <c r="U15" i="58"/>
  <c r="X15" i="59"/>
  <c r="F21" i="58"/>
  <c r="F22" i="58"/>
  <c r="F30" i="58"/>
  <c r="F17" i="58"/>
  <c r="F20" i="58"/>
  <c r="F18" i="58"/>
  <c r="F26" i="58"/>
  <c r="F23" i="58"/>
  <c r="F24" i="58"/>
  <c r="F19" i="58"/>
  <c r="F25" i="58"/>
  <c r="F27" i="58"/>
  <c r="U15" i="57"/>
  <c r="F18" i="57"/>
  <c r="F26" i="57"/>
  <c r="F25" i="57"/>
  <c r="F30" i="57"/>
  <c r="F23" i="57"/>
  <c r="F19" i="57"/>
  <c r="F22" i="57"/>
  <c r="F24" i="57"/>
  <c r="F17" i="57"/>
  <c r="F20" i="57"/>
  <c r="F21" i="57"/>
  <c r="F27" i="57"/>
  <c r="V20" i="55"/>
  <c r="W15" i="59"/>
  <c r="W15" i="57"/>
  <c r="V19" i="55"/>
  <c r="X19" i="55"/>
  <c r="M17" i="56"/>
  <c r="Q34" i="57" l="1"/>
  <c r="Q35" i="57" s="1"/>
  <c r="M33" i="57"/>
  <c r="J33" i="59"/>
  <c r="M34" i="55"/>
  <c r="M35" i="55" s="1"/>
  <c r="O34" i="59"/>
  <c r="O35" i="59" s="1"/>
  <c r="P33" i="57"/>
  <c r="R34" i="58"/>
  <c r="R35" i="58" s="1"/>
  <c r="N33" i="55"/>
  <c r="U14" i="55"/>
  <c r="U15" i="55" s="1"/>
  <c r="U13" i="55"/>
  <c r="W13" i="55"/>
  <c r="W14" i="55"/>
  <c r="W15" i="55" s="1"/>
  <c r="V13" i="55"/>
  <c r="V14" i="55"/>
  <c r="V15" i="55" s="1"/>
  <c r="X14" i="55"/>
  <c r="X15" i="55" s="1"/>
  <c r="X13" i="55"/>
  <c r="O33" i="55"/>
  <c r="G33" i="57"/>
  <c r="S32" i="61"/>
  <c r="T32" i="61" s="1"/>
  <c r="U32" i="61" s="1"/>
  <c r="S29" i="61"/>
  <c r="S26" i="61"/>
  <c r="P33" i="58"/>
  <c r="O34" i="57"/>
  <c r="O35" i="57" s="1"/>
  <c r="S28" i="61"/>
  <c r="S25" i="61"/>
  <c r="S31" i="61"/>
  <c r="S27" i="61"/>
  <c r="S30" i="61"/>
  <c r="S12" i="61"/>
  <c r="S10" i="61"/>
  <c r="S14" i="61"/>
  <c r="S18" i="61"/>
  <c r="S19" i="61"/>
  <c r="T19" i="61" s="1"/>
  <c r="U19" i="61" s="1"/>
  <c r="S16" i="61"/>
  <c r="S15" i="61"/>
  <c r="S11" i="61"/>
  <c r="S13" i="61"/>
  <c r="S17" i="61"/>
  <c r="F26" i="55"/>
  <c r="F27" i="55"/>
  <c r="R33" i="57"/>
  <c r="K33" i="58"/>
  <c r="K34" i="57"/>
  <c r="K35" i="57" s="1"/>
  <c r="K33" i="57"/>
  <c r="O33" i="57"/>
  <c r="G34" i="57"/>
  <c r="J34" i="57"/>
  <c r="J35" i="57" s="1"/>
  <c r="H33" i="57"/>
  <c r="J33" i="57"/>
  <c r="H34" i="57"/>
  <c r="H35" i="57" s="1"/>
  <c r="M34" i="57"/>
  <c r="M35" i="57" s="1"/>
  <c r="K33" i="55"/>
  <c r="L33" i="58"/>
  <c r="I33" i="58"/>
  <c r="L33" i="55"/>
  <c r="M34" i="59"/>
  <c r="M35" i="59" s="1"/>
  <c r="J33" i="58"/>
  <c r="R33" i="58"/>
  <c r="J33" i="55"/>
  <c r="G33" i="59"/>
  <c r="K34" i="58"/>
  <c r="K35" i="58" s="1"/>
  <c r="G34" i="59"/>
  <c r="R34" i="57"/>
  <c r="R35" i="57" s="1"/>
  <c r="P34" i="57"/>
  <c r="P35" i="57" s="1"/>
  <c r="Q34" i="59"/>
  <c r="Q35" i="59" s="1"/>
  <c r="N34" i="59"/>
  <c r="N35" i="59" s="1"/>
  <c r="P34" i="59"/>
  <c r="P35" i="59" s="1"/>
  <c r="K34" i="59"/>
  <c r="K35" i="59" s="1"/>
  <c r="N33" i="59"/>
  <c r="P33" i="55"/>
  <c r="H34" i="55"/>
  <c r="H35" i="55" s="1"/>
  <c r="G33" i="55"/>
  <c r="I33" i="55"/>
  <c r="L33" i="59"/>
  <c r="R34" i="59"/>
  <c r="R35" i="59" s="1"/>
  <c r="H33" i="55"/>
  <c r="Q33" i="59"/>
  <c r="P34" i="55"/>
  <c r="P35" i="55" s="1"/>
  <c r="Q33" i="55"/>
  <c r="G34" i="55"/>
  <c r="J34" i="55"/>
  <c r="J35" i="55" s="1"/>
  <c r="K34" i="55"/>
  <c r="K35" i="55" s="1"/>
  <c r="N34" i="55"/>
  <c r="N35" i="55" s="1"/>
  <c r="H33" i="58"/>
  <c r="I34" i="55"/>
  <c r="I35" i="55" s="1"/>
  <c r="J34" i="59"/>
  <c r="J35" i="59" s="1"/>
  <c r="O34" i="55"/>
  <c r="O35" i="55" s="1"/>
  <c r="K33" i="59"/>
  <c r="L34" i="57"/>
  <c r="L35" i="57" s="1"/>
  <c r="G34" i="58"/>
  <c r="P34" i="58"/>
  <c r="P35" i="58" s="1"/>
  <c r="N34" i="58"/>
  <c r="N35" i="58" s="1"/>
  <c r="J34" i="58"/>
  <c r="J35" i="58" s="1"/>
  <c r="O34" i="58"/>
  <c r="O35" i="58" s="1"/>
  <c r="R34" i="55"/>
  <c r="R35" i="55" s="1"/>
  <c r="L34" i="58"/>
  <c r="L35" i="58" s="1"/>
  <c r="I34" i="59"/>
  <c r="I35" i="59" s="1"/>
  <c r="G33" i="58"/>
  <c r="Q34" i="58"/>
  <c r="Q35" i="58" s="1"/>
  <c r="I34" i="58"/>
  <c r="I35" i="58" s="1"/>
  <c r="H34" i="58"/>
  <c r="H35" i="58" s="1"/>
  <c r="Q33" i="58"/>
  <c r="H34" i="59"/>
  <c r="H35" i="59" s="1"/>
  <c r="M33" i="58"/>
  <c r="I33" i="57"/>
  <c r="I34" i="57"/>
  <c r="I35" i="57" s="1"/>
  <c r="I33" i="59"/>
  <c r="Q34" i="55"/>
  <c r="Q35" i="55" s="1"/>
  <c r="M33" i="55"/>
  <c r="Q33" i="57"/>
  <c r="N33" i="58"/>
  <c r="M34" i="58"/>
  <c r="M35" i="58" s="1"/>
  <c r="L34" i="55"/>
  <c r="L35" i="55" s="1"/>
  <c r="O33" i="59"/>
  <c r="M33" i="59"/>
  <c r="R33" i="59"/>
  <c r="L34" i="59"/>
  <c r="L35" i="59" s="1"/>
  <c r="R33" i="55"/>
  <c r="H33" i="59"/>
  <c r="L33" i="57"/>
  <c r="P33" i="59"/>
  <c r="S17" i="56"/>
  <c r="G35" i="55" l="1"/>
  <c r="G35" i="58"/>
  <c r="G35" i="57"/>
  <c r="G35" i="59"/>
  <c r="T27" i="61"/>
  <c r="U27" i="61" s="1"/>
  <c r="T25" i="61"/>
  <c r="U25" i="61" s="1"/>
  <c r="T28" i="61"/>
  <c r="U28" i="61" s="1"/>
  <c r="T11" i="61"/>
  <c r="U11" i="61" s="1"/>
  <c r="T26" i="61"/>
  <c r="U26" i="61" s="1"/>
  <c r="T30" i="61"/>
  <c r="U30" i="61" s="1"/>
  <c r="T29" i="61"/>
  <c r="U29" i="61" s="1"/>
  <c r="T12" i="61"/>
  <c r="U12" i="61" s="1"/>
  <c r="T13" i="61"/>
  <c r="U13" i="61" s="1"/>
  <c r="T31" i="61"/>
  <c r="U31" i="61" s="1"/>
  <c r="T16" i="61"/>
  <c r="U16" i="61" s="1"/>
  <c r="T10" i="61"/>
  <c r="U10" i="61" s="1"/>
  <c r="T17" i="61"/>
  <c r="U17" i="61" s="1"/>
  <c r="T15" i="61"/>
  <c r="U15" i="61" s="1"/>
  <c r="T14" i="61"/>
  <c r="U14" i="61" s="1"/>
  <c r="T18" i="61"/>
  <c r="U18" i="61" s="1"/>
  <c r="F15" i="61"/>
  <c r="F19" i="61"/>
  <c r="F12" i="61"/>
  <c r="F16" i="61"/>
  <c r="F11" i="61"/>
  <c r="F13" i="61"/>
  <c r="F17" i="61"/>
  <c r="F14" i="61"/>
  <c r="F18" i="61"/>
  <c r="P31" i="56"/>
  <c r="P28" i="56"/>
  <c r="P32" i="56" l="1"/>
  <c r="J32" i="56"/>
  <c r="J33" i="56" l="1"/>
  <c r="P34" i="56"/>
  <c r="P33" i="56" l="1"/>
  <c r="G17" i="56"/>
  <c r="P17" i="56" s="1"/>
  <c r="N17" i="56"/>
  <c r="O17" i="56" l="1"/>
  <c r="V17" i="56"/>
  <c r="K12" i="56"/>
  <c r="Q29" i="56"/>
  <c r="K17" i="56"/>
  <c r="T12" i="56"/>
  <c r="P6" i="56"/>
  <c r="Q34" i="56"/>
  <c r="Q27" i="56"/>
  <c r="Q26" i="56"/>
  <c r="T17" i="56"/>
  <c r="N12" i="56"/>
  <c r="Q12" i="56"/>
  <c r="Q28" i="56"/>
  <c r="Q31" i="56"/>
  <c r="W18" i="56"/>
  <c r="H12" i="56"/>
  <c r="K33" i="1"/>
  <c r="Q30" i="56"/>
  <c r="K26" i="56"/>
  <c r="H17" i="56"/>
  <c r="W12" i="56"/>
  <c r="X16" i="56" l="1"/>
  <c r="L31" i="56"/>
  <c r="I17" i="56"/>
  <c r="X18" i="56"/>
  <c r="R31" i="56"/>
  <c r="R27" i="56"/>
  <c r="I16" i="56"/>
  <c r="R34" i="56"/>
  <c r="U17" i="56"/>
  <c r="R30" i="56"/>
  <c r="L29" i="56"/>
  <c r="L34" i="56"/>
  <c r="L30" i="56"/>
  <c r="X15" i="56"/>
  <c r="U16" i="56"/>
  <c r="L17" i="56"/>
  <c r="Q17" i="56"/>
  <c r="W17" i="56" s="1"/>
  <c r="X17" i="56" s="1"/>
  <c r="L28" i="56"/>
  <c r="L14" i="56"/>
  <c r="L27" i="56"/>
  <c r="K32" i="56"/>
  <c r="L32" i="56" s="1"/>
  <c r="I14" i="56"/>
  <c r="Q14" i="56"/>
  <c r="R14" i="56" s="1"/>
  <c r="O16" i="56"/>
  <c r="U14" i="56"/>
  <c r="X14" i="56"/>
  <c r="R29" i="56"/>
  <c r="R16" i="56"/>
  <c r="L16" i="56"/>
  <c r="Q32" i="56"/>
  <c r="R32" i="56" s="1"/>
  <c r="R28" i="56"/>
  <c r="R17" i="56" l="1"/>
  <c r="K33" i="56"/>
  <c r="L33" i="56" s="1"/>
  <c r="Q33" i="56"/>
  <c r="R33" i="56" s="1"/>
  <c r="F13" i="56" l="1"/>
</calcChain>
</file>

<file path=xl/sharedStrings.xml><?xml version="1.0" encoding="utf-8"?>
<sst xmlns="http://schemas.openxmlformats.org/spreadsheetml/2006/main" count="3390" uniqueCount="210">
  <si>
    <t>Global Tourism Solutions (UK) Ltd</t>
  </si>
  <si>
    <t>Company:</t>
  </si>
  <si>
    <t>Product:</t>
  </si>
  <si>
    <t>STEAM</t>
  </si>
  <si>
    <t>Report Type:</t>
  </si>
  <si>
    <t>Authority:</t>
  </si>
  <si>
    <t>Sub-Zone:</t>
  </si>
  <si>
    <t>Prepared by:</t>
  </si>
  <si>
    <t>Date of Issue:</t>
  </si>
  <si>
    <t>Title1:</t>
  </si>
  <si>
    <t>Title2:</t>
  </si>
  <si>
    <t>Footer1:</t>
  </si>
  <si>
    <t>Footer2:</t>
  </si>
  <si>
    <t>These are Created from the text in the Area Definition Table</t>
  </si>
  <si>
    <t>Year No</t>
  </si>
  <si>
    <t>Checks for Data</t>
  </si>
  <si>
    <t>YEAR</t>
  </si>
  <si>
    <t>Select Year</t>
  </si>
  <si>
    <t>Economic Impact</t>
  </si>
  <si>
    <t>SFR</t>
  </si>
  <si>
    <t>Population</t>
  </si>
  <si>
    <t>Employment</t>
  </si>
  <si>
    <t>Vehicle Days</t>
  </si>
  <si>
    <t>Vehicle Numbers</t>
  </si>
  <si>
    <t>Accommodation</t>
  </si>
  <si>
    <t>MEASURE</t>
  </si>
  <si>
    <t>SUB-MEASURE</t>
  </si>
  <si>
    <t>JAN</t>
  </si>
  <si>
    <t>FEB</t>
  </si>
  <si>
    <t>MAR</t>
  </si>
  <si>
    <t>APR</t>
  </si>
  <si>
    <t>MAY</t>
  </si>
  <si>
    <t>JUN</t>
  </si>
  <si>
    <t>JUL</t>
  </si>
  <si>
    <t>AUG</t>
  </si>
  <si>
    <t>SEP</t>
  </si>
  <si>
    <t>OCT</t>
  </si>
  <si>
    <t>NOV</t>
  </si>
  <si>
    <t>DEC</t>
  </si>
  <si>
    <t>TOTAL</t>
  </si>
  <si>
    <t>LOOKUP</t>
  </si>
  <si>
    <t>Highlight %</t>
  </si>
  <si>
    <t>YES</t>
  </si>
  <si>
    <t>NO</t>
  </si>
  <si>
    <t>Serviced Accommodation</t>
  </si>
  <si>
    <t>Direct Expenditure</t>
  </si>
  <si>
    <t>Indirect Expenditure</t>
  </si>
  <si>
    <t>Direct Revenue</t>
  </si>
  <si>
    <t>VAT</t>
  </si>
  <si>
    <t>Non-Serviced Accommodation</t>
  </si>
  <si>
    <t>Food &amp; Drink</t>
  </si>
  <si>
    <t>Recreation</t>
  </si>
  <si>
    <t>Shopping</t>
  </si>
  <si>
    <t>Transport</t>
  </si>
  <si>
    <t>Indirect Employment</t>
  </si>
  <si>
    <t>Total</t>
  </si>
  <si>
    <t>Direct Employment</t>
  </si>
  <si>
    <t>UNITS</t>
  </si>
  <si>
    <t>£000s</t>
  </si>
  <si>
    <t>Bed Spaces</t>
  </si>
  <si>
    <t>FTEs</t>
  </si>
  <si>
    <t>Persons</t>
  </si>
  <si>
    <t>000s</t>
  </si>
  <si>
    <t>Indexation Applied</t>
  </si>
  <si>
    <t>Text for Drop-Down</t>
  </si>
  <si>
    <t>YNI</t>
  </si>
  <si>
    <t>Website: www.gtsuk.net</t>
  </si>
  <si>
    <t>Report Status:</t>
  </si>
  <si>
    <t>Draft</t>
  </si>
  <si>
    <t>OPTIONS:</t>
  </si>
  <si>
    <t>Final</t>
  </si>
  <si>
    <t>Text</t>
  </si>
  <si>
    <t>Years</t>
  </si>
  <si>
    <t>Day Visitor</t>
  </si>
  <si>
    <t>VISITOR TYPES</t>
  </si>
  <si>
    <t>the Average for</t>
  </si>
  <si>
    <t>Total Employment</t>
  </si>
  <si>
    <t>Total Economic Impact</t>
  </si>
  <si>
    <t>User Selected</t>
  </si>
  <si>
    <t>Series Name for Chart 2</t>
  </si>
  <si>
    <t>Percentage Change from Baseline</t>
  </si>
  <si>
    <t>Measure</t>
  </si>
  <si>
    <t>REPORT DEFINITION</t>
  </si>
  <si>
    <t>YEARS IN THIS REPORT</t>
  </si>
  <si>
    <t>COMPANY DETAILS</t>
  </si>
  <si>
    <t>Choices</t>
  </si>
  <si>
    <t>Q1: JAN to MAR</t>
  </si>
  <si>
    <t>Q2: APR to JUN</t>
  </si>
  <si>
    <t>Q3: JUL to SEP</t>
  </si>
  <si>
    <t>Q4: OCT to DEC</t>
  </si>
  <si>
    <t>All Year</t>
  </si>
  <si>
    <t>TOTAL DIRECT</t>
  </si>
  <si>
    <t>KEY</t>
  </si>
  <si>
    <t>Q1</t>
  </si>
  <si>
    <t>Q2</t>
  </si>
  <si>
    <t>Q3</t>
  </si>
  <si>
    <t>Q4</t>
  </si>
  <si>
    <t>All Staying Visitors</t>
  </si>
  <si>
    <t>All Visitor Types</t>
  </si>
  <si>
    <t>Day Visitors</t>
  </si>
  <si>
    <t>Grove House</t>
  </si>
  <si>
    <t>9D Throxenby Lane</t>
  </si>
  <si>
    <t>Scarborough</t>
  </si>
  <si>
    <t>North Yorkshire</t>
  </si>
  <si>
    <t>YO12 5HN</t>
  </si>
  <si>
    <t>AREA CODE:</t>
  </si>
  <si>
    <t>IND</t>
  </si>
  <si>
    <t>Comparative Headlines</t>
  </si>
  <si>
    <t>Sectoral Analysis</t>
  </si>
  <si>
    <t>Highlight Text &lt;</t>
  </si>
  <si>
    <t>Highlight Text &gt;</t>
  </si>
  <si>
    <t>Highlight Text =</t>
  </si>
  <si>
    <t>Serviced</t>
  </si>
  <si>
    <t>Non-Serviced</t>
  </si>
  <si>
    <t>Staying in Paid Accommodation</t>
  </si>
  <si>
    <t>+/- %</t>
  </si>
  <si>
    <t>Sectors</t>
  </si>
  <si>
    <t>Indirect</t>
  </si>
  <si>
    <t>Average Annual Change</t>
  </si>
  <si>
    <t>%</t>
  </si>
  <si>
    <t>% Change</t>
  </si>
  <si>
    <t>COMPARISON YEAR</t>
  </si>
  <si>
    <t>SHARE OF MARKET</t>
  </si>
  <si>
    <t>Share of Total</t>
  </si>
  <si>
    <t>Annual Change in Share</t>
  </si>
  <si>
    <t>CALENDAR YEAR</t>
  </si>
  <si>
    <t>QUARTER</t>
  </si>
  <si>
    <t>FOCUS YEAR</t>
  </si>
  <si>
    <t>KEY ECONOMIC IMPACT MEASURES</t>
  </si>
  <si>
    <t>CLICK THE SECTION HEADINGS OR EXAMPLE IMAGES TO NAVIGATE TO EACH REPORT SECTION</t>
  </si>
  <si>
    <t>FURTHER ANALYSES AND OUTPUTS</t>
  </si>
  <si>
    <t>REPORT NAVIGATION</t>
  </si>
  <si>
    <t>GUIDANCE</t>
  </si>
  <si>
    <t>SUPPLEMENTS</t>
  </si>
  <si>
    <t>MONTH AND QUARTER</t>
  </si>
  <si>
    <t>DATA</t>
  </si>
  <si>
    <t>CHART YEAR</t>
  </si>
  <si>
    <t>Key Measures</t>
  </si>
  <si>
    <t>ALOOKUP</t>
  </si>
  <si>
    <t>AREA</t>
  </si>
  <si>
    <t>Sectoral Distribution of Employment - FTEs</t>
  </si>
  <si>
    <r>
      <t>"Expon." =</t>
    </r>
    <r>
      <rPr>
        <i/>
        <sz val="8"/>
        <rFont val="Calibri"/>
        <family val="2"/>
        <scheme val="minor"/>
      </rPr>
      <t xml:space="preserve"> Exponential Trendline</t>
    </r>
  </si>
  <si>
    <t>Staying with Friends and Relatives (SFR)</t>
  </si>
  <si>
    <t>Staying Visitor</t>
  </si>
  <si>
    <t>CONTENTS</t>
  </si>
  <si>
    <t>SECTOR / YEAR</t>
  </si>
  <si>
    <t>Economic Impact £m</t>
  </si>
  <si>
    <t>£M</t>
  </si>
  <si>
    <t>M</t>
  </si>
  <si>
    <t>Avg Ann. Change in Share</t>
  </si>
  <si>
    <t>Telephone: 01723 506310</t>
  </si>
  <si>
    <t>Email: david.james@gtsuk.net</t>
  </si>
  <si>
    <t>Establishments</t>
  </si>
  <si>
    <t>Accommodation - Establishments</t>
  </si>
  <si>
    <t>Serviced Accommodation 1</t>
  </si>
  <si>
    <t>Serviced Accommodation 2</t>
  </si>
  <si>
    <t>Serviced Accommodation 3</t>
  </si>
  <si>
    <t>Serviced Accommodation 4</t>
  </si>
  <si>
    <t>Serviced Accommodation 5</t>
  </si>
  <si>
    <t>Non-Serviced Accommodation 1</t>
  </si>
  <si>
    <t>Non-Serviced Accommodation 2</t>
  </si>
  <si>
    <t>Non-Serviced Accommodation 3</t>
  </si>
  <si>
    <t>Non-Serviced Accommodation 4</t>
  </si>
  <si>
    <t>Non-Serviced Accommodation 5</t>
  </si>
  <si>
    <t>Serviced Accommodation Total</t>
  </si>
  <si>
    <t>Non-Serviced Accommodation Total</t>
  </si>
  <si>
    <t>All Accommodation Types</t>
  </si>
  <si>
    <t>Accommodation - Bed Spaces</t>
  </si>
  <si>
    <t>USER GUIDE</t>
  </si>
  <si>
    <t>Visitor Types:</t>
  </si>
  <si>
    <t>Direct and Total Employment</t>
  </si>
  <si>
    <t>Sections:</t>
  </si>
  <si>
    <t>Indexation:</t>
  </si>
  <si>
    <t>Demonstration</t>
  </si>
  <si>
    <t>USE</t>
  </si>
  <si>
    <t>Visitor Days</t>
  </si>
  <si>
    <t>Visitor Numbers</t>
  </si>
  <si>
    <t>STAYING VISITORS</t>
  </si>
  <si>
    <t>Moray HIE</t>
  </si>
  <si>
    <t>Alison Tipler</t>
  </si>
  <si>
    <t>MOR</t>
  </si>
  <si>
    <t>Z:\STM\ALLSTEAM\Blanks\2013\BLANKPROG\BLANKPROG_06.xlsx</t>
  </si>
  <si>
    <t>Z:\STM\ALLSTEAM\Blanks\2013\BLANKPROG\BLANKPROG_07.xlsx</t>
  </si>
  <si>
    <t>Z:\STM\ALLSTEAM\Blanks\2013\BLANKPROG\BLANKPROG_08.xlsx</t>
  </si>
  <si>
    <t>Z:\STM\ALLSTEAM\Blanks\2013\BLANKPROG\BLANKPROG_09.xlsx</t>
  </si>
  <si>
    <t>Z:\STM\ALLSTEAM\Blanks\2013\BLANKPROG\BLANKPROG_10.xlsx</t>
  </si>
  <si>
    <t>Z:\STM\ALLSTEAM\Blanks\2013\BLANKPROG\BLANKPROG_11.xlsx</t>
  </si>
  <si>
    <t>Z:\STM\ALLSTEAM\Blanks\2013\BLANKPROG\BLANKPROG_12.xlsx</t>
  </si>
  <si>
    <t>Z:\STM\Sco\MBS\Mor\09\Morpv09RB.xls</t>
  </si>
  <si>
    <t>Z:\STM\Sco\MBS\Mor\10\Morpv10.xls</t>
  </si>
  <si>
    <t>Z:\STM\Sco\MBS\Mor\11\Morpv11.xls</t>
  </si>
  <si>
    <t>Z:\STM\Sco\MBS\Mor\12\Morpv12.xls</t>
  </si>
  <si>
    <t>Z:\STM\Sco\MBS\Mor\13\Morpv13.xls</t>
  </si>
  <si>
    <t>BLANK</t>
  </si>
  <si>
    <t/>
  </si>
  <si>
    <t>Serviced Total</t>
  </si>
  <si>
    <t>Moray</t>
  </si>
  <si>
    <t>2009</t>
  </si>
  <si>
    <t>+50 Room</t>
  </si>
  <si>
    <t>26-50 Room</t>
  </si>
  <si>
    <t>&lt;26 Room</t>
  </si>
  <si>
    <t>Guest Houses/B&amp;Bs</t>
  </si>
  <si>
    <t>Self-Catering</t>
  </si>
  <si>
    <t>Touring/Camping</t>
  </si>
  <si>
    <t xml:space="preserve">Non-Serviced Accommodation Total </t>
  </si>
  <si>
    <t>2010</t>
  </si>
  <si>
    <t>2011</t>
  </si>
  <si>
    <t>2012</t>
  </si>
  <si>
    <t>2013</t>
  </si>
  <si>
    <t>Direct and Total Employment by Month, Year and Visitor Type for the Period 2009 to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</si>
</sst>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 #,##0.00_);_(* \(#,##0.00\);_(* &quot;-&quot;??_);_(@_)"/>
    <numFmt numFmtId="165" formatCode="0.0%"/>
    <numFmt numFmtId="166" formatCode="#,##0;[Red]\-#,##0;;@"/>
    <numFmt numFmtId="167" formatCode="###0;[Red]\-###0;;@"/>
    <numFmt numFmtId="168" formatCode="#,##0.0;[Red]\-#,##0.0;;@"/>
    <numFmt numFmtId="169" formatCode="0.000"/>
    <numFmt numFmtId="170" formatCode="#,##0.0"/>
    <numFmt numFmtId="171" formatCode="#,##0.0,"/>
    <numFmt numFmtId="172" formatCode="#,##0.00,"/>
    <numFmt numFmtId="173" formatCode=";;;"/>
    <numFmt numFmtId="174" formatCode="#,##0.000,,"/>
    <numFmt numFmtId="175" formatCode="_-* #,##0_-;\-* #,##0_-;_-* &quot;-&quot;??_-;_-@_-"/>
    <numFmt numFmtId="176" formatCode="0.0"/>
    <numFmt numFmtId="177" formatCode="dd\-mmm\-yyyy"/>
  </numFmts>
  <fonts count="60" x14ac:knownFonts="1">
    <font>
      <sz val="10"/>
      <color theme="1"/>
      <name val="Calibri"/>
      <family val="2"/>
    </font>
    <font>
      <sz val="11"/>
      <color theme="1"/>
      <name val="Calibri"/>
      <family val="2"/>
      <scheme val="minor"/>
    </font>
    <font>
      <b/>
      <sz val="10"/>
      <color theme="1"/>
      <name val="Calibri"/>
      <family val="2"/>
    </font>
    <font>
      <b/>
      <sz val="12"/>
      <color theme="0"/>
      <name val="Calibri"/>
      <family val="2"/>
    </font>
    <font>
      <b/>
      <i/>
      <sz val="10"/>
      <name val="Calibri"/>
      <family val="2"/>
    </font>
    <font>
      <i/>
      <sz val="10"/>
      <color theme="0"/>
      <name val="Calibri"/>
      <family val="2"/>
    </font>
    <font>
      <sz val="10"/>
      <color theme="1"/>
      <name val="Calibri"/>
      <family val="2"/>
    </font>
    <font>
      <sz val="10"/>
      <color theme="0"/>
      <name val="Calibri"/>
      <family val="2"/>
    </font>
    <font>
      <sz val="10"/>
      <name val="Calibri"/>
      <family val="2"/>
    </font>
    <font>
      <sz val="10"/>
      <color theme="4" tint="-0.499984740745262"/>
      <name val="Calibri"/>
      <family val="2"/>
    </font>
    <font>
      <sz val="10"/>
      <name val="Arial"/>
      <family val="2"/>
    </font>
    <font>
      <b/>
      <sz val="12"/>
      <name val="Arial"/>
      <family val="2"/>
    </font>
    <font>
      <b/>
      <sz val="10"/>
      <name val="Calibri"/>
      <family val="2"/>
    </font>
    <font>
      <b/>
      <sz val="14"/>
      <color theme="0"/>
      <name val="Calibri"/>
      <family val="2"/>
    </font>
    <font>
      <sz val="16"/>
      <color theme="1"/>
      <name val="Calibri"/>
      <family val="2"/>
    </font>
    <font>
      <b/>
      <i/>
      <sz val="10"/>
      <color theme="1"/>
      <name val="Calibri"/>
      <family val="2"/>
    </font>
    <font>
      <sz val="9"/>
      <color theme="1"/>
      <name val="Calibri"/>
      <family val="2"/>
    </font>
    <font>
      <sz val="9"/>
      <name val="Calibri"/>
      <family val="2"/>
    </font>
    <font>
      <b/>
      <i/>
      <sz val="11"/>
      <name val="Calibri"/>
      <family val="2"/>
    </font>
    <font>
      <sz val="12"/>
      <color theme="0"/>
      <name val="Calibri"/>
      <family val="2"/>
    </font>
    <font>
      <b/>
      <sz val="20"/>
      <color theme="4" tint="-0.499984740745262"/>
      <name val="Calibri"/>
      <family val="2"/>
    </font>
    <font>
      <sz val="8"/>
      <color theme="1"/>
      <name val="Calibri"/>
      <family val="2"/>
      <scheme val="minor"/>
    </font>
    <font>
      <b/>
      <sz val="9"/>
      <color theme="0"/>
      <name val="Calibri"/>
      <family val="2"/>
      <scheme val="minor"/>
    </font>
    <font>
      <sz val="8"/>
      <color theme="0" tint="-0.34998626667073579"/>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5"/>
      <color theme="0" tint="-0.34998626667073579"/>
      <name val="Calibri"/>
      <family val="2"/>
      <scheme val="minor"/>
    </font>
    <font>
      <sz val="9"/>
      <color theme="0"/>
      <name val="Calibri"/>
      <family val="2"/>
      <scheme val="minor"/>
    </font>
    <font>
      <b/>
      <sz val="10"/>
      <color theme="0"/>
      <name val="Calibri"/>
      <family val="2"/>
      <scheme val="minor"/>
    </font>
    <font>
      <b/>
      <sz val="10"/>
      <color theme="1"/>
      <name val="Calibri"/>
      <family val="2"/>
      <scheme val="minor"/>
    </font>
    <font>
      <b/>
      <sz val="10"/>
      <name val="Calibri"/>
      <family val="2"/>
      <scheme val="minor"/>
    </font>
    <font>
      <b/>
      <sz val="8"/>
      <color theme="0"/>
      <name val="Calibri"/>
      <family val="2"/>
      <scheme val="minor"/>
    </font>
    <font>
      <i/>
      <sz val="8"/>
      <color theme="1" tint="0.14999847407452621"/>
      <name val="Calibri"/>
      <family val="2"/>
      <scheme val="minor"/>
    </font>
    <font>
      <b/>
      <sz val="8"/>
      <name val="Calibri"/>
      <family val="2"/>
      <scheme val="minor"/>
    </font>
    <font>
      <sz val="8"/>
      <name val="Calibri"/>
      <family val="2"/>
      <scheme val="minor"/>
    </font>
    <font>
      <b/>
      <sz val="18"/>
      <color theme="4" tint="-0.499984740745262"/>
      <name val="Calibri"/>
      <family val="2"/>
    </font>
    <font>
      <b/>
      <sz val="12"/>
      <name val="Calibri"/>
      <family val="2"/>
      <scheme val="minor"/>
    </font>
    <font>
      <sz val="10"/>
      <name val="Calibri"/>
      <family val="2"/>
      <scheme val="minor"/>
    </font>
    <font>
      <b/>
      <sz val="14"/>
      <color theme="1"/>
      <name val="Calibri"/>
      <family val="2"/>
      <scheme val="minor"/>
    </font>
    <font>
      <sz val="14"/>
      <color theme="0"/>
      <name val="Calibri"/>
      <family val="2"/>
      <scheme val="minor"/>
    </font>
    <font>
      <i/>
      <sz val="8"/>
      <name val="Calibri"/>
      <family val="2"/>
      <scheme val="minor"/>
    </font>
    <font>
      <sz val="8"/>
      <color theme="0"/>
      <name val="Calibri"/>
      <family val="2"/>
      <scheme val="minor"/>
    </font>
    <font>
      <i/>
      <sz val="11"/>
      <color theme="0"/>
      <name val="Calibri"/>
      <family val="2"/>
      <scheme val="minor"/>
    </font>
    <font>
      <b/>
      <sz val="8"/>
      <color theme="1"/>
      <name val="Calibri"/>
      <family val="2"/>
      <scheme val="minor"/>
    </font>
    <font>
      <sz val="10"/>
      <color theme="0"/>
      <name val="Calibri"/>
      <family val="2"/>
      <scheme val="minor"/>
    </font>
    <font>
      <b/>
      <sz val="11"/>
      <color theme="0"/>
      <name val="Calibri"/>
      <family val="2"/>
      <scheme val="minor"/>
    </font>
    <font>
      <b/>
      <sz val="12"/>
      <color theme="0"/>
      <name val="Calibri"/>
      <family val="2"/>
      <scheme val="minor"/>
    </font>
    <font>
      <b/>
      <sz val="16"/>
      <color theme="1" tint="0.34998626667073579"/>
      <name val="Calibri"/>
      <family val="2"/>
      <scheme val="minor"/>
    </font>
    <font>
      <b/>
      <i/>
      <sz val="16"/>
      <color theme="1" tint="0.34998626667073579"/>
      <name val="Calibri"/>
      <family val="2"/>
      <scheme val="minor"/>
    </font>
    <font>
      <i/>
      <sz val="14"/>
      <color theme="1" tint="0.34998626667073579"/>
      <name val="Calibri"/>
      <family val="2"/>
      <scheme val="minor"/>
    </font>
    <font>
      <i/>
      <sz val="10"/>
      <color theme="1" tint="0.34998626667073579"/>
      <name val="Calibri"/>
      <family val="2"/>
      <scheme val="minor"/>
    </font>
    <font>
      <b/>
      <i/>
      <sz val="9"/>
      <color theme="1" tint="0.34998626667073579"/>
      <name val="Calibri"/>
      <family val="2"/>
      <scheme val="minor"/>
    </font>
    <font>
      <sz val="10"/>
      <color theme="1"/>
      <name val="Calibri"/>
      <family val="2"/>
      <scheme val="minor"/>
    </font>
    <font>
      <b/>
      <sz val="12"/>
      <color theme="1" tint="0.34998626667073579"/>
      <name val="Calibri"/>
      <family val="2"/>
      <scheme val="minor"/>
    </font>
    <font>
      <sz val="9"/>
      <color rgb="FFFFFF00"/>
      <name val="Calibri"/>
      <family val="2"/>
      <scheme val="minor"/>
    </font>
    <font>
      <sz val="9"/>
      <color rgb="FF002060"/>
      <name val="Calibri"/>
      <family val="2"/>
      <scheme val="minor"/>
    </font>
    <font>
      <b/>
      <sz val="9"/>
      <color rgb="FF002060"/>
      <name val="Calibri"/>
      <family val="2"/>
      <scheme val="minor"/>
    </font>
    <font>
      <b/>
      <sz val="8"/>
      <color rgb="FF002060"/>
      <name val="Calibri"/>
      <family val="2"/>
      <scheme val="minor"/>
    </font>
  </fonts>
  <fills count="4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39997558519241921"/>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tint="0.499984740745262"/>
        <bgColor indexed="64"/>
      </patternFill>
    </fill>
    <fill>
      <patternFill patternType="solid">
        <fgColor theme="7"/>
        <bgColor indexed="64"/>
      </patternFill>
    </fill>
    <fill>
      <patternFill patternType="solid">
        <fgColor theme="9"/>
        <bgColor indexed="64"/>
      </patternFill>
    </fill>
    <fill>
      <patternFill patternType="solid">
        <fgColor rgb="FF002060"/>
        <bgColor indexed="64"/>
      </patternFill>
    </fill>
    <fill>
      <patternFill patternType="solid">
        <fgColor theme="3"/>
        <bgColor indexed="64"/>
      </patternFill>
    </fill>
    <fill>
      <patternFill patternType="solid">
        <fgColor theme="9" tint="0.59999389629810485"/>
        <bgColor indexed="64"/>
      </patternFill>
    </fill>
    <fill>
      <patternFill patternType="solid">
        <fgColor theme="1" tint="0.14999847407452621"/>
        <bgColor indexed="64"/>
      </patternFill>
    </fill>
    <fill>
      <patternFill patternType="solid">
        <fgColor theme="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6" tint="-0.499984740745262"/>
        <bgColor indexed="64"/>
      </patternFill>
    </fill>
    <fill>
      <patternFill patternType="solid">
        <fgColor rgb="FF00B0F0"/>
        <bgColor indexed="64"/>
      </patternFill>
    </fill>
    <fill>
      <patternFill patternType="solid">
        <fgColor rgb="FFFABF8F"/>
        <bgColor indexed="64"/>
      </patternFill>
    </fill>
    <fill>
      <patternFill patternType="solid">
        <fgColor rgb="FF92D050"/>
        <bgColor indexed="64"/>
      </patternFill>
    </fill>
  </fills>
  <borders count="26">
    <border>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medium">
        <color theme="0"/>
      </left>
      <right style="medium">
        <color theme="0"/>
      </right>
      <top style="medium">
        <color theme="0"/>
      </top>
      <bottom style="medium">
        <color theme="0"/>
      </bottom>
      <diagonal/>
    </border>
  </borders>
  <cellStyleXfs count="13">
    <xf numFmtId="0" fontId="0"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166" fontId="10" fillId="0" borderId="1" applyFont="0" applyFill="0" applyBorder="0" applyAlignment="0"/>
    <xf numFmtId="167" fontId="11" fillId="0" borderId="0" applyFill="0" applyBorder="0" applyAlignment="0"/>
    <xf numFmtId="168" fontId="10" fillId="0" borderId="1" applyFont="0" applyFill="0" applyBorder="0" applyAlignment="0"/>
    <xf numFmtId="164" fontId="6"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3" fontId="10" fillId="0" borderId="0" applyFill="0" applyBorder="0" applyProtection="0"/>
    <xf numFmtId="0" fontId="6" fillId="0" borderId="0"/>
  </cellStyleXfs>
  <cellXfs count="1109">
    <xf numFmtId="0" fontId="0" fillId="0" borderId="0" xfId="0"/>
    <xf numFmtId="0" fontId="0" fillId="2" borderId="0" xfId="0" applyFill="1" applyProtection="1">
      <protection hidden="1"/>
    </xf>
    <xf numFmtId="0" fontId="0" fillId="8" borderId="0" xfId="0" applyFill="1" applyProtection="1">
      <protection hidden="1"/>
    </xf>
    <xf numFmtId="0" fontId="2" fillId="3" borderId="0" xfId="0" applyFont="1" applyFill="1" applyProtection="1">
      <protection hidden="1"/>
    </xf>
    <xf numFmtId="0" fontId="0" fillId="7" borderId="0" xfId="0" applyFill="1" applyProtection="1">
      <protection hidden="1"/>
    </xf>
    <xf numFmtId="0" fontId="2" fillId="3" borderId="0" xfId="0" applyFont="1" applyFill="1" applyAlignment="1" applyProtection="1">
      <alignment horizontal="left"/>
      <protection hidden="1"/>
    </xf>
    <xf numFmtId="0" fontId="0" fillId="2" borderId="0" xfId="0" applyFill="1" applyAlignment="1" applyProtection="1">
      <alignment horizontal="center"/>
      <protection hidden="1"/>
    </xf>
    <xf numFmtId="169" fontId="0" fillId="2" borderId="0" xfId="0" applyNumberFormat="1" applyFill="1" applyAlignment="1" applyProtection="1">
      <alignment horizontal="center" vertical="center"/>
      <protection hidden="1"/>
    </xf>
    <xf numFmtId="0" fontId="0" fillId="2" borderId="0" xfId="0" applyFont="1" applyFill="1" applyProtection="1">
      <protection hidden="1"/>
    </xf>
    <xf numFmtId="0" fontId="8" fillId="2" borderId="0" xfId="0" applyFont="1" applyFill="1" applyProtection="1">
      <protection hidden="1"/>
    </xf>
    <xf numFmtId="0" fontId="7" fillId="8" borderId="0" xfId="0" applyFont="1" applyFill="1" applyProtection="1">
      <protection hidden="1"/>
    </xf>
    <xf numFmtId="0" fontId="9" fillId="8" borderId="0" xfId="0" applyFont="1" applyFill="1" applyProtection="1">
      <protection hidden="1"/>
    </xf>
    <xf numFmtId="49" fontId="4" fillId="6" borderId="2" xfId="0" applyNumberFormat="1" applyFont="1" applyFill="1" applyBorder="1" applyAlignment="1" applyProtection="1">
      <alignment horizontal="center" vertical="center" wrapText="1"/>
      <protection hidden="1"/>
    </xf>
    <xf numFmtId="0" fontId="4" fillId="6" borderId="2" xfId="0" applyFont="1" applyFill="1" applyBorder="1" applyAlignment="1" applyProtection="1">
      <alignment horizontal="center" vertical="center" wrapText="1"/>
      <protection hidden="1"/>
    </xf>
    <xf numFmtId="0" fontId="3" fillId="5" borderId="2" xfId="0" applyFont="1" applyFill="1" applyBorder="1" applyAlignment="1" applyProtection="1">
      <protection hidden="1"/>
    </xf>
    <xf numFmtId="0" fontId="4" fillId="2" borderId="4"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protection hidden="1"/>
    </xf>
    <xf numFmtId="0" fontId="3" fillId="5" borderId="0" xfId="0" applyFont="1" applyFill="1" applyBorder="1" applyAlignment="1" applyProtection="1">
      <protection hidden="1"/>
    </xf>
    <xf numFmtId="0" fontId="16" fillId="2" borderId="0" xfId="0" applyFont="1" applyFill="1" applyBorder="1" applyAlignment="1" applyProtection="1">
      <alignment horizontal="left" vertical="center"/>
      <protection hidden="1"/>
    </xf>
    <xf numFmtId="1" fontId="0" fillId="8" borderId="0" xfId="0" applyNumberFormat="1" applyFill="1" applyProtection="1">
      <protection hidden="1"/>
    </xf>
    <xf numFmtId="0" fontId="7" fillId="8" borderId="0" xfId="0" applyFont="1" applyFill="1" applyAlignment="1" applyProtection="1">
      <alignment textRotation="90"/>
      <protection hidden="1"/>
    </xf>
    <xf numFmtId="0" fontId="0" fillId="7" borderId="0" xfId="0" applyFill="1" applyAlignment="1" applyProtection="1">
      <alignment horizontal="left"/>
      <protection hidden="1"/>
    </xf>
    <xf numFmtId="0" fontId="16" fillId="2" borderId="0" xfId="0" applyFont="1" applyFill="1" applyBorder="1" applyAlignment="1" applyProtection="1">
      <alignment horizontal="left"/>
      <protection hidden="1"/>
    </xf>
    <xf numFmtId="0" fontId="16" fillId="2" borderId="4" xfId="0" applyFont="1" applyFill="1" applyBorder="1" applyAlignment="1" applyProtection="1">
      <alignment horizontal="left" vertical="center"/>
      <protection hidden="1"/>
    </xf>
    <xf numFmtId="0" fontId="0" fillId="2" borderId="0" xfId="0" applyFill="1" applyProtection="1">
      <protection locked="0" hidden="1"/>
    </xf>
    <xf numFmtId="0" fontId="4" fillId="6" borderId="2" xfId="0" applyFont="1" applyFill="1" applyBorder="1" applyAlignment="1" applyProtection="1">
      <alignment vertical="center" wrapText="1"/>
      <protection hidden="1"/>
    </xf>
    <xf numFmtId="0" fontId="3" fillId="5" borderId="2" xfId="0" applyNumberFormat="1" applyFont="1" applyFill="1" applyBorder="1" applyAlignment="1" applyProtection="1">
      <protection hidden="1"/>
    </xf>
    <xf numFmtId="0" fontId="18" fillId="6" borderId="7" xfId="0" applyFont="1" applyFill="1" applyBorder="1" applyAlignment="1" applyProtection="1">
      <alignment horizontal="center" vertical="center" wrapText="1"/>
      <protection hidden="1"/>
    </xf>
    <xf numFmtId="0" fontId="16" fillId="2" borderId="0" xfId="0" applyFont="1" applyFill="1" applyBorder="1" applyAlignment="1" applyProtection="1">
      <alignment horizontal="center"/>
      <protection hidden="1"/>
    </xf>
    <xf numFmtId="0" fontId="16" fillId="2" borderId="6" xfId="0" applyFont="1" applyFill="1" applyBorder="1" applyAlignment="1" applyProtection="1">
      <alignment horizontal="center" vertical="center"/>
      <protection hidden="1"/>
    </xf>
    <xf numFmtId="1" fontId="16" fillId="2" borderId="6" xfId="0" applyNumberFormat="1" applyFont="1" applyFill="1" applyBorder="1" applyAlignment="1" applyProtection="1">
      <alignment horizontal="center" vertical="center" wrapText="1"/>
      <protection hidden="1"/>
    </xf>
    <xf numFmtId="0" fontId="16" fillId="2" borderId="6" xfId="0" applyFont="1" applyFill="1" applyBorder="1" applyAlignment="1" applyProtection="1">
      <alignment horizontal="center" vertical="center" wrapText="1"/>
      <protection hidden="1"/>
    </xf>
    <xf numFmtId="0" fontId="17" fillId="2" borderId="6" xfId="0" applyFont="1" applyFill="1" applyBorder="1" applyAlignment="1" applyProtection="1">
      <alignment horizontal="center" vertical="center"/>
      <protection hidden="1"/>
    </xf>
    <xf numFmtId="0" fontId="0" fillId="8" borderId="0" xfId="0" applyFill="1" applyBorder="1" applyProtection="1">
      <protection hidden="1"/>
    </xf>
    <xf numFmtId="0" fontId="4" fillId="8" borderId="0" xfId="0" applyFont="1" applyFill="1" applyBorder="1" applyAlignment="1" applyProtection="1">
      <alignment vertical="center" wrapText="1"/>
      <protection hidden="1"/>
    </xf>
    <xf numFmtId="0" fontId="3" fillId="5" borderId="0" xfId="0" applyNumberFormat="1" applyFont="1" applyFill="1" applyBorder="1" applyAlignment="1" applyProtection="1">
      <protection hidden="1"/>
    </xf>
    <xf numFmtId="1" fontId="8" fillId="2" borderId="0" xfId="0" applyNumberFormat="1" applyFont="1" applyFill="1" applyProtection="1">
      <protection hidden="1"/>
    </xf>
    <xf numFmtId="1" fontId="0" fillId="2" borderId="4" xfId="0" applyNumberFormat="1" applyFill="1" applyBorder="1" applyProtection="1">
      <protection hidden="1"/>
    </xf>
    <xf numFmtId="0" fontId="16" fillId="2" borderId="0" xfId="0" applyNumberFormat="1" applyFont="1" applyFill="1" applyBorder="1" applyAlignment="1" applyProtection="1">
      <alignment horizontal="left"/>
      <protection hidden="1"/>
    </xf>
    <xf numFmtId="9" fontId="12" fillId="2" borderId="0" xfId="1" applyFont="1" applyFill="1" applyAlignment="1" applyProtection="1">
      <alignment horizontal="center" vertical="center"/>
      <protection hidden="1"/>
    </xf>
    <xf numFmtId="9" fontId="0" fillId="8" borderId="0" xfId="1" applyFont="1" applyFill="1" applyProtection="1">
      <protection hidden="1"/>
    </xf>
    <xf numFmtId="0" fontId="24" fillId="30" borderId="0" xfId="0" applyFont="1" applyFill="1" applyBorder="1" applyAlignment="1">
      <alignment horizontal="center" vertical="center"/>
    </xf>
    <xf numFmtId="0" fontId="22" fillId="20" borderId="13" xfId="0" applyFont="1" applyFill="1" applyBorder="1" applyAlignment="1">
      <alignment horizontal="center" vertical="center"/>
    </xf>
    <xf numFmtId="0" fontId="25" fillId="30" borderId="0" xfId="0" applyFont="1" applyFill="1" applyBorder="1" applyAlignment="1">
      <alignment horizontal="center" vertical="center"/>
    </xf>
    <xf numFmtId="165" fontId="26" fillId="2" borderId="10" xfId="1" applyNumberFormat="1" applyFont="1" applyFill="1" applyBorder="1" applyAlignment="1">
      <alignment horizontal="center" vertical="center"/>
    </xf>
    <xf numFmtId="0" fontId="25" fillId="30" borderId="0" xfId="0" applyFont="1" applyFill="1" applyBorder="1" applyAlignment="1">
      <alignment vertical="center"/>
    </xf>
    <xf numFmtId="0" fontId="25" fillId="30" borderId="0" xfId="0" applyFont="1" applyFill="1" applyBorder="1" applyAlignment="1">
      <alignment horizontal="right" vertical="center"/>
    </xf>
    <xf numFmtId="0" fontId="21" fillId="30" borderId="0" xfId="0" applyFont="1" applyFill="1" applyBorder="1" applyAlignment="1">
      <alignment horizontal="right" vertical="center"/>
    </xf>
    <xf numFmtId="0" fontId="21" fillId="30" borderId="0" xfId="0" applyFont="1" applyFill="1" applyBorder="1" applyAlignment="1">
      <alignment vertical="center"/>
    </xf>
    <xf numFmtId="0" fontId="25" fillId="6" borderId="0" xfId="0" applyFont="1" applyFill="1" applyBorder="1" applyAlignment="1">
      <alignment vertical="center"/>
    </xf>
    <xf numFmtId="0" fontId="22" fillId="6" borderId="14" xfId="0" applyFont="1" applyFill="1" applyBorder="1" applyAlignment="1">
      <alignment vertical="center"/>
    </xf>
    <xf numFmtId="0" fontId="22" fillId="6" borderId="15" xfId="0" applyFont="1" applyFill="1" applyBorder="1" applyAlignment="1">
      <alignment vertical="center"/>
    </xf>
    <xf numFmtId="0" fontId="22" fillId="6" borderId="16" xfId="0" applyFont="1" applyFill="1" applyBorder="1" applyAlignment="1">
      <alignment vertical="center"/>
    </xf>
    <xf numFmtId="0" fontId="25" fillId="6" borderId="20" xfId="0" applyFont="1" applyFill="1" applyBorder="1" applyAlignment="1">
      <alignment vertical="center"/>
    </xf>
    <xf numFmtId="0" fontId="25" fillId="6" borderId="21" xfId="0" applyFont="1" applyFill="1" applyBorder="1" applyAlignment="1">
      <alignment vertical="center"/>
    </xf>
    <xf numFmtId="0" fontId="16" fillId="3" borderId="4" xfId="0" applyFont="1" applyFill="1" applyBorder="1" applyAlignment="1" applyProtection="1">
      <alignment horizontal="right"/>
      <protection hidden="1"/>
    </xf>
    <xf numFmtId="0" fontId="25" fillId="27" borderId="17" xfId="0" applyFont="1" applyFill="1" applyBorder="1" applyAlignment="1">
      <alignment vertical="center"/>
    </xf>
    <xf numFmtId="0" fontId="25" fillId="27" borderId="18" xfId="0" applyFont="1" applyFill="1" applyBorder="1" applyAlignment="1">
      <alignment vertical="center"/>
    </xf>
    <xf numFmtId="0" fontId="25" fillId="27" borderId="19" xfId="0" applyFont="1" applyFill="1" applyBorder="1" applyAlignment="1">
      <alignment vertical="center"/>
    </xf>
    <xf numFmtId="0" fontId="25" fillId="30" borderId="14" xfId="0" applyFont="1" applyFill="1" applyBorder="1" applyAlignment="1">
      <alignment vertical="center"/>
    </xf>
    <xf numFmtId="0" fontId="25" fillId="30" borderId="15" xfId="0" applyFont="1" applyFill="1" applyBorder="1" applyAlignment="1">
      <alignment vertical="center"/>
    </xf>
    <xf numFmtId="0" fontId="25" fillId="30" borderId="16" xfId="0" applyFont="1" applyFill="1" applyBorder="1" applyAlignment="1">
      <alignment vertical="center"/>
    </xf>
    <xf numFmtId="0" fontId="23" fillId="2" borderId="18" xfId="0" applyFont="1" applyFill="1" applyBorder="1" applyAlignment="1">
      <alignment vertical="center"/>
    </xf>
    <xf numFmtId="9" fontId="0" fillId="2" borderId="0" xfId="1" applyFont="1" applyFill="1" applyAlignment="1" applyProtection="1">
      <alignment horizontal="center" vertical="center"/>
      <protection hidden="1"/>
    </xf>
    <xf numFmtId="0" fontId="25" fillId="22" borderId="20" xfId="0" applyFont="1" applyFill="1" applyBorder="1" applyAlignment="1">
      <alignment vertical="center"/>
    </xf>
    <xf numFmtId="0" fontId="25" fillId="22" borderId="0" xfId="0" applyFont="1" applyFill="1" applyBorder="1" applyAlignment="1">
      <alignment vertical="center"/>
    </xf>
    <xf numFmtId="0" fontId="25" fillId="22" borderId="21" xfId="0" applyFont="1" applyFill="1" applyBorder="1" applyAlignment="1">
      <alignment vertical="center"/>
    </xf>
    <xf numFmtId="0" fontId="28" fillId="2" borderId="19" xfId="0" applyFont="1" applyFill="1" applyBorder="1" applyAlignment="1">
      <alignment horizontal="right"/>
    </xf>
    <xf numFmtId="0" fontId="28" fillId="2" borderId="17" xfId="0" applyFont="1" applyFill="1" applyBorder="1" applyAlignment="1"/>
    <xf numFmtId="0" fontId="24" fillId="2" borderId="11" xfId="0" applyFont="1" applyFill="1" applyBorder="1" applyAlignment="1">
      <alignment horizontal="right" vertical="center"/>
    </xf>
    <xf numFmtId="0" fontId="22" fillId="5" borderId="11" xfId="0" applyFont="1" applyFill="1" applyBorder="1" applyAlignment="1">
      <alignment horizontal="center" vertical="center"/>
    </xf>
    <xf numFmtId="0" fontId="22" fillId="13" borderId="11" xfId="0" applyFont="1" applyFill="1" applyBorder="1" applyAlignment="1">
      <alignment horizontal="center" vertical="center"/>
    </xf>
    <xf numFmtId="0" fontId="24" fillId="3" borderId="11" xfId="0" applyFont="1" applyFill="1" applyBorder="1" applyAlignment="1">
      <alignment horizontal="center" vertical="center"/>
    </xf>
    <xf numFmtId="0" fontId="24" fillId="4" borderId="11" xfId="0" applyFont="1" applyFill="1" applyBorder="1" applyAlignment="1">
      <alignment horizontal="center" vertical="center"/>
    </xf>
    <xf numFmtId="9" fontId="26" fillId="3" borderId="22" xfId="1" applyFont="1" applyFill="1" applyBorder="1" applyAlignment="1">
      <alignment horizontal="center" vertical="center"/>
    </xf>
    <xf numFmtId="9" fontId="26" fillId="4" borderId="22" xfId="1" applyFont="1" applyFill="1" applyBorder="1" applyAlignment="1">
      <alignment horizontal="center" vertical="center"/>
    </xf>
    <xf numFmtId="9" fontId="29" fillId="13" borderId="22" xfId="1" applyFont="1" applyFill="1" applyBorder="1" applyAlignment="1">
      <alignment horizontal="center" vertical="center"/>
    </xf>
    <xf numFmtId="9" fontId="29" fillId="5" borderId="22" xfId="1" applyFont="1" applyFill="1" applyBorder="1" applyAlignment="1">
      <alignment horizontal="center" vertical="center"/>
    </xf>
    <xf numFmtId="165" fontId="26" fillId="0" borderId="10" xfId="1" applyNumberFormat="1" applyFont="1" applyFill="1" applyBorder="1" applyAlignment="1">
      <alignment horizontal="center" vertical="center"/>
    </xf>
    <xf numFmtId="165" fontId="25" fillId="0" borderId="10" xfId="1" applyNumberFormat="1" applyFont="1" applyFill="1" applyBorder="1" applyAlignment="1">
      <alignment horizontal="center" vertical="center"/>
    </xf>
    <xf numFmtId="172" fontId="25" fillId="30" borderId="0" xfId="0" applyNumberFormat="1" applyFont="1" applyFill="1" applyBorder="1" applyAlignment="1">
      <alignment vertical="center"/>
    </xf>
    <xf numFmtId="1" fontId="24" fillId="7" borderId="10" xfId="0" applyNumberFormat="1" applyFont="1" applyFill="1" applyBorder="1" applyAlignment="1">
      <alignment horizontal="center" vertical="center"/>
    </xf>
    <xf numFmtId="1" fontId="24" fillId="7" borderId="22" xfId="1" applyNumberFormat="1" applyFont="1" applyFill="1" applyBorder="1" applyAlignment="1">
      <alignment horizontal="center" vertical="center"/>
    </xf>
    <xf numFmtId="0" fontId="29" fillId="30" borderId="0" xfId="0" applyFont="1" applyFill="1" applyBorder="1" applyAlignment="1">
      <alignment vertical="center"/>
    </xf>
    <xf numFmtId="173" fontId="25" fillId="30" borderId="0" xfId="0" applyNumberFormat="1" applyFont="1" applyFill="1" applyBorder="1" applyAlignment="1">
      <alignment horizontal="right" vertical="center"/>
    </xf>
    <xf numFmtId="9" fontId="26" fillId="0" borderId="10" xfId="1" applyFont="1" applyFill="1" applyBorder="1" applyAlignment="1">
      <alignment vertical="center"/>
    </xf>
    <xf numFmtId="2" fontId="26" fillId="0" borderId="10" xfId="1" applyNumberFormat="1" applyFont="1" applyFill="1" applyBorder="1" applyAlignment="1">
      <alignment horizontal="center" vertical="center"/>
    </xf>
    <xf numFmtId="0" fontId="0" fillId="3" borderId="2" xfId="0" applyFill="1" applyBorder="1" applyAlignment="1" applyProtection="1">
      <protection hidden="1"/>
    </xf>
    <xf numFmtId="0" fontId="4" fillId="3" borderId="0" xfId="0" applyFont="1" applyFill="1" applyBorder="1" applyAlignment="1" applyProtection="1">
      <alignment wrapText="1"/>
      <protection hidden="1"/>
    </xf>
    <xf numFmtId="0" fontId="4" fillId="3" borderId="3" xfId="0" applyFont="1" applyFill="1" applyBorder="1" applyAlignment="1" applyProtection="1">
      <alignment wrapText="1"/>
      <protection hidden="1"/>
    </xf>
    <xf numFmtId="0" fontId="4" fillId="2" borderId="9" xfId="0" applyFont="1" applyFill="1" applyBorder="1" applyAlignment="1" applyProtection="1">
      <alignment wrapText="1"/>
      <protection hidden="1"/>
    </xf>
    <xf numFmtId="0" fontId="4" fillId="2" borderId="0" xfId="0" applyFont="1" applyFill="1" applyBorder="1" applyAlignment="1" applyProtection="1">
      <alignment wrapText="1"/>
      <protection hidden="1"/>
    </xf>
    <xf numFmtId="0" fontId="25" fillId="0" borderId="10" xfId="0" applyFont="1" applyFill="1" applyBorder="1" applyAlignment="1">
      <alignment vertical="center"/>
    </xf>
    <xf numFmtId="1" fontId="27" fillId="7" borderId="11" xfId="1" applyNumberFormat="1" applyFont="1" applyFill="1" applyBorder="1" applyAlignment="1">
      <alignment horizontal="right" vertical="center"/>
    </xf>
    <xf numFmtId="0" fontId="34" fillId="2" borderId="17" xfId="0" applyFont="1" applyFill="1" applyBorder="1" applyAlignment="1">
      <alignment vertical="center"/>
    </xf>
    <xf numFmtId="0" fontId="16" fillId="3" borderId="0" xfId="0" applyFont="1" applyFill="1" applyBorder="1" applyAlignment="1" applyProtection="1">
      <alignment horizontal="right"/>
      <protection hidden="1"/>
    </xf>
    <xf numFmtId="9" fontId="36" fillId="0" borderId="10" xfId="1" applyFont="1" applyFill="1" applyBorder="1" applyAlignment="1">
      <alignment vertical="center"/>
    </xf>
    <xf numFmtId="2" fontId="36" fillId="0" borderId="10" xfId="1" applyNumberFormat="1" applyFont="1" applyFill="1" applyBorder="1" applyAlignment="1">
      <alignment horizontal="center" vertical="center"/>
    </xf>
    <xf numFmtId="3" fontId="33" fillId="18" borderId="22" xfId="1" applyNumberFormat="1" applyFont="1" applyFill="1" applyBorder="1" applyAlignment="1">
      <alignment horizontal="center" vertical="center"/>
    </xf>
    <xf numFmtId="3" fontId="33" fillId="8" borderId="22" xfId="1" applyNumberFormat="1" applyFont="1" applyFill="1" applyBorder="1" applyAlignment="1">
      <alignment horizontal="center" vertical="center"/>
    </xf>
    <xf numFmtId="174" fontId="29" fillId="30" borderId="0" xfId="0" applyNumberFormat="1" applyFont="1" applyFill="1" applyBorder="1" applyAlignment="1">
      <alignment vertical="center"/>
    </xf>
    <xf numFmtId="175" fontId="35" fillId="3" borderId="10" xfId="7" applyNumberFormat="1" applyFont="1" applyFill="1" applyBorder="1" applyAlignment="1">
      <alignment horizontal="center" vertical="center"/>
    </xf>
    <xf numFmtId="175" fontId="35" fillId="4" borderId="10" xfId="7" applyNumberFormat="1" applyFont="1" applyFill="1" applyBorder="1" applyAlignment="1">
      <alignment horizontal="center" vertical="center"/>
    </xf>
    <xf numFmtId="175" fontId="33" fillId="13" borderId="10" xfId="7" applyNumberFormat="1" applyFont="1" applyFill="1" applyBorder="1" applyAlignment="1">
      <alignment horizontal="center" vertical="center"/>
    </xf>
    <xf numFmtId="175" fontId="33" fillId="5" borderId="10" xfId="7" applyNumberFormat="1" applyFont="1" applyFill="1" applyBorder="1" applyAlignment="1">
      <alignment horizontal="center" vertical="center"/>
    </xf>
    <xf numFmtId="175" fontId="33" fillId="18" borderId="10" xfId="7" applyNumberFormat="1" applyFont="1" applyFill="1" applyBorder="1" applyAlignment="1">
      <alignment horizontal="center" vertical="center"/>
    </xf>
    <xf numFmtId="0" fontId="20" fillId="0" borderId="10" xfId="0" applyFont="1" applyFill="1" applyBorder="1" applyAlignment="1" applyProtection="1">
      <alignment vertical="center"/>
      <protection hidden="1"/>
    </xf>
    <xf numFmtId="1" fontId="13" fillId="8" borderId="0" xfId="11" applyNumberFormat="1" applyFont="1" applyFill="1" applyAlignment="1" applyProtection="1">
      <alignment horizontal="left" vertical="center"/>
      <protection hidden="1"/>
    </xf>
    <xf numFmtId="1" fontId="3" fillId="8" borderId="0" xfId="11" applyNumberFormat="1" applyFont="1" applyFill="1" applyAlignment="1" applyProtection="1">
      <alignment horizontal="left" vertical="center"/>
      <protection hidden="1"/>
    </xf>
    <xf numFmtId="3" fontId="3" fillId="8" borderId="0" xfId="11" applyFont="1" applyFill="1" applyProtection="1">
      <protection hidden="1"/>
    </xf>
    <xf numFmtId="3" fontId="39" fillId="2" borderId="0" xfId="11" applyFont="1" applyFill="1"/>
    <xf numFmtId="175" fontId="25" fillId="30" borderId="0" xfId="0" applyNumberFormat="1" applyFont="1" applyFill="1" applyBorder="1" applyAlignment="1">
      <alignment vertical="center"/>
    </xf>
    <xf numFmtId="0" fontId="14" fillId="0" borderId="0" xfId="0" applyFont="1" applyFill="1" applyBorder="1" applyAlignment="1" applyProtection="1">
      <alignment horizontal="right"/>
      <protection hidden="1"/>
    </xf>
    <xf numFmtId="0" fontId="2" fillId="0" borderId="0" xfId="0" applyFont="1" applyFill="1" applyBorder="1" applyAlignment="1" applyProtection="1">
      <alignment horizontal="right"/>
      <protection hidden="1"/>
    </xf>
    <xf numFmtId="0" fontId="16" fillId="0" borderId="0" xfId="0" applyFont="1" applyFill="1" applyBorder="1" applyAlignment="1" applyProtection="1">
      <alignment horizontal="right"/>
      <protection hidden="1"/>
    </xf>
    <xf numFmtId="0" fontId="17" fillId="0" borderId="0" xfId="0" applyFont="1" applyFill="1" applyBorder="1" applyAlignment="1" applyProtection="1">
      <alignment horizontal="right"/>
      <protection hidden="1"/>
    </xf>
    <xf numFmtId="0" fontId="0" fillId="0" borderId="18" xfId="0" applyFont="1" applyFill="1" applyBorder="1" applyAlignment="1" applyProtection="1">
      <alignment horizontal="right"/>
      <protection hidden="1"/>
    </xf>
    <xf numFmtId="0" fontId="25" fillId="30" borderId="0" xfId="0" applyFont="1" applyFill="1" applyBorder="1" applyAlignment="1" applyProtection="1">
      <alignment horizontal="center" vertical="center"/>
      <protection hidden="1"/>
    </xf>
    <xf numFmtId="0" fontId="25" fillId="30" borderId="0" xfId="0" applyFont="1" applyFill="1" applyBorder="1" applyAlignment="1" applyProtection="1">
      <alignment vertical="center"/>
      <protection hidden="1"/>
    </xf>
    <xf numFmtId="0" fontId="25" fillId="30" borderId="0" xfId="0" applyFont="1" applyFill="1" applyBorder="1" applyAlignment="1" applyProtection="1">
      <alignment horizontal="right" vertical="center"/>
      <protection hidden="1"/>
    </xf>
    <xf numFmtId="0" fontId="25" fillId="30" borderId="14" xfId="0" applyFont="1" applyFill="1" applyBorder="1" applyAlignment="1" applyProtection="1">
      <alignment vertical="center"/>
      <protection hidden="1"/>
    </xf>
    <xf numFmtId="0" fontId="25" fillId="30" borderId="15" xfId="0" applyFont="1" applyFill="1" applyBorder="1" applyAlignment="1" applyProtection="1">
      <alignment vertical="center"/>
      <protection hidden="1"/>
    </xf>
    <xf numFmtId="0" fontId="25" fillId="30" borderId="16" xfId="0" applyFont="1" applyFill="1" applyBorder="1" applyAlignment="1" applyProtection="1">
      <alignment vertical="center"/>
      <protection hidden="1"/>
    </xf>
    <xf numFmtId="0" fontId="22" fillId="6" borderId="14" xfId="0" applyFont="1" applyFill="1" applyBorder="1" applyAlignment="1" applyProtection="1">
      <alignment vertical="center"/>
      <protection hidden="1"/>
    </xf>
    <xf numFmtId="0" fontId="22" fillId="6" borderId="15" xfId="0" applyFont="1" applyFill="1" applyBorder="1" applyAlignment="1" applyProtection="1">
      <alignment vertical="center"/>
      <protection hidden="1"/>
    </xf>
    <xf numFmtId="0" fontId="22" fillId="6" borderId="16" xfId="0" applyFont="1" applyFill="1" applyBorder="1" applyAlignment="1" applyProtection="1">
      <alignment vertical="center"/>
      <protection hidden="1"/>
    </xf>
    <xf numFmtId="0" fontId="25" fillId="6" borderId="20" xfId="0" applyFont="1" applyFill="1" applyBorder="1" applyAlignment="1" applyProtection="1">
      <alignment vertical="center"/>
      <protection hidden="1"/>
    </xf>
    <xf numFmtId="0" fontId="25" fillId="6" borderId="0" xfId="0" applyFont="1" applyFill="1" applyBorder="1" applyAlignment="1" applyProtection="1">
      <alignment vertical="center"/>
      <protection hidden="1"/>
    </xf>
    <xf numFmtId="0" fontId="25" fillId="6" borderId="21" xfId="0" applyFont="1" applyFill="1" applyBorder="1" applyAlignment="1" applyProtection="1">
      <alignment vertical="center"/>
      <protection hidden="1"/>
    </xf>
    <xf numFmtId="0" fontId="25" fillId="6" borderId="17" xfId="0" applyFont="1" applyFill="1" applyBorder="1" applyAlignment="1" applyProtection="1">
      <alignment vertical="center"/>
      <protection hidden="1"/>
    </xf>
    <xf numFmtId="0" fontId="25" fillId="6" borderId="18" xfId="0" applyFont="1" applyFill="1" applyBorder="1" applyAlignment="1" applyProtection="1">
      <alignment vertical="center"/>
      <protection hidden="1"/>
    </xf>
    <xf numFmtId="0" fontId="25" fillId="6" borderId="19" xfId="0" applyFont="1" applyFill="1" applyBorder="1" applyAlignment="1" applyProtection="1">
      <alignment vertical="center"/>
      <protection hidden="1"/>
    </xf>
    <xf numFmtId="0" fontId="24" fillId="30" borderId="0" xfId="0" applyFont="1" applyFill="1" applyBorder="1" applyAlignment="1" applyProtection="1">
      <alignment horizontal="center" vertical="center"/>
      <protection hidden="1"/>
    </xf>
    <xf numFmtId="0" fontId="40" fillId="30" borderId="0" xfId="0" applyFont="1" applyFill="1" applyBorder="1" applyAlignment="1" applyProtection="1">
      <alignment horizontal="center" vertical="center"/>
      <protection hidden="1"/>
    </xf>
    <xf numFmtId="0" fontId="24" fillId="0" borderId="10" xfId="0" applyFont="1" applyFill="1" applyBorder="1" applyAlignment="1" applyProtection="1">
      <alignment vertical="center"/>
      <protection hidden="1"/>
    </xf>
    <xf numFmtId="0" fontId="22" fillId="0" borderId="10" xfId="0" applyFont="1" applyFill="1" applyBorder="1" applyAlignment="1" applyProtection="1">
      <alignment vertical="center" wrapText="1"/>
      <protection hidden="1"/>
    </xf>
    <xf numFmtId="0" fontId="25" fillId="0" borderId="10" xfId="0" applyFont="1" applyFill="1" applyBorder="1" applyAlignment="1" applyProtection="1">
      <alignment vertical="center"/>
      <protection hidden="1"/>
    </xf>
    <xf numFmtId="0" fontId="22" fillId="0" borderId="10" xfId="0" applyFont="1" applyFill="1" applyBorder="1" applyAlignment="1" applyProtection="1">
      <alignment horizontal="center" vertical="center" wrapText="1"/>
      <protection hidden="1"/>
    </xf>
    <xf numFmtId="0" fontId="24" fillId="0" borderId="10" xfId="0" quotePrefix="1" applyFont="1" applyFill="1" applyBorder="1" applyAlignment="1" applyProtection="1">
      <alignment horizontal="center" vertical="center" wrapText="1"/>
      <protection hidden="1"/>
    </xf>
    <xf numFmtId="0" fontId="22" fillId="0" borderId="10" xfId="0" applyFont="1" applyFill="1" applyBorder="1" applyAlignment="1" applyProtection="1">
      <alignment horizontal="right" vertical="center"/>
      <protection hidden="1"/>
    </xf>
    <xf numFmtId="0" fontId="22" fillId="0" borderId="10" xfId="0" applyFont="1" applyFill="1" applyBorder="1" applyAlignment="1" applyProtection="1">
      <alignment horizontal="center" vertical="center"/>
      <protection hidden="1"/>
    </xf>
    <xf numFmtId="170" fontId="26" fillId="0" borderId="10" xfId="0" applyNumberFormat="1" applyFont="1" applyFill="1" applyBorder="1" applyAlignment="1" applyProtection="1">
      <alignment vertical="center"/>
      <protection hidden="1"/>
    </xf>
    <xf numFmtId="165" fontId="26" fillId="0" borderId="10" xfId="1" applyNumberFormat="1" applyFont="1" applyFill="1" applyBorder="1" applyAlignment="1" applyProtection="1">
      <alignment horizontal="center" vertical="center"/>
      <protection hidden="1"/>
    </xf>
    <xf numFmtId="170" fontId="26" fillId="0" borderId="14" xfId="0" applyNumberFormat="1" applyFont="1" applyFill="1" applyBorder="1" applyAlignment="1" applyProtection="1">
      <alignment vertical="center"/>
      <protection hidden="1"/>
    </xf>
    <xf numFmtId="170" fontId="26" fillId="0" borderId="15" xfId="0" applyNumberFormat="1" applyFont="1" applyFill="1" applyBorder="1" applyAlignment="1" applyProtection="1">
      <alignment vertical="center"/>
      <protection hidden="1"/>
    </xf>
    <xf numFmtId="165" fontId="26" fillId="0" borderId="15" xfId="1" applyNumberFormat="1" applyFont="1" applyFill="1" applyBorder="1" applyAlignment="1" applyProtection="1">
      <alignment horizontal="center" vertical="center"/>
      <protection hidden="1"/>
    </xf>
    <xf numFmtId="171" fontId="26" fillId="0" borderId="15" xfId="0" applyNumberFormat="1" applyFont="1" applyFill="1" applyBorder="1" applyAlignment="1" applyProtection="1">
      <alignment vertical="center"/>
      <protection hidden="1"/>
    </xf>
    <xf numFmtId="165" fontId="26" fillId="0" borderId="16" xfId="1" applyNumberFormat="1" applyFont="1" applyFill="1" applyBorder="1" applyAlignment="1" applyProtection="1">
      <alignment horizontal="center" vertical="center"/>
      <protection hidden="1"/>
    </xf>
    <xf numFmtId="171" fontId="26" fillId="0" borderId="10" xfId="0" applyNumberFormat="1" applyFont="1" applyFill="1" applyBorder="1" applyAlignment="1" applyProtection="1">
      <alignment vertical="center"/>
      <protection hidden="1"/>
    </xf>
    <xf numFmtId="0" fontId="22" fillId="0" borderId="20" xfId="0" applyFont="1" applyFill="1" applyBorder="1" applyAlignment="1" applyProtection="1">
      <alignment vertical="center"/>
      <protection hidden="1"/>
    </xf>
    <xf numFmtId="0" fontId="22" fillId="0" borderId="0" xfId="0" applyFont="1" applyFill="1" applyBorder="1" applyAlignment="1" applyProtection="1">
      <alignment vertical="center"/>
      <protection hidden="1"/>
    </xf>
    <xf numFmtId="0" fontId="24" fillId="0" borderId="0" xfId="0" applyFont="1" applyFill="1" applyBorder="1" applyAlignment="1" applyProtection="1">
      <alignment vertical="center"/>
      <protection hidden="1"/>
    </xf>
    <xf numFmtId="0" fontId="22" fillId="0" borderId="0" xfId="0" applyFont="1" applyFill="1" applyBorder="1" applyAlignment="1" applyProtection="1">
      <alignment vertical="center" wrapText="1"/>
      <protection hidden="1"/>
    </xf>
    <xf numFmtId="0" fontId="22" fillId="0" borderId="21" xfId="0" applyFont="1" applyFill="1" applyBorder="1" applyAlignment="1" applyProtection="1">
      <alignment vertical="center" wrapText="1"/>
      <protection hidden="1"/>
    </xf>
    <xf numFmtId="0" fontId="24" fillId="0" borderId="10" xfId="0" applyFont="1" applyFill="1" applyBorder="1" applyAlignment="1" applyProtection="1">
      <alignment horizontal="right" vertical="center"/>
      <protection hidden="1"/>
    </xf>
    <xf numFmtId="3" fontId="26" fillId="0" borderId="10" xfId="0" applyNumberFormat="1" applyFont="1" applyFill="1" applyBorder="1" applyAlignment="1" applyProtection="1">
      <alignment vertical="center"/>
      <protection hidden="1"/>
    </xf>
    <xf numFmtId="0" fontId="22" fillId="0" borderId="10" xfId="0" applyFont="1" applyFill="1" applyBorder="1" applyAlignment="1" applyProtection="1">
      <alignment vertical="center"/>
      <protection hidden="1"/>
    </xf>
    <xf numFmtId="0" fontId="24" fillId="0" borderId="10" xfId="0" applyFont="1" applyFill="1" applyBorder="1" applyAlignment="1" applyProtection="1">
      <alignment vertical="center" wrapText="1"/>
      <protection hidden="1"/>
    </xf>
    <xf numFmtId="0" fontId="25" fillId="0" borderId="20" xfId="0" applyFont="1" applyFill="1" applyBorder="1" applyAlignment="1" applyProtection="1">
      <alignment vertical="center"/>
      <protection hidden="1"/>
    </xf>
    <xf numFmtId="0" fontId="25" fillId="0" borderId="0" xfId="0" applyFont="1" applyFill="1" applyBorder="1" applyAlignment="1" applyProtection="1">
      <alignment vertical="center"/>
      <protection hidden="1"/>
    </xf>
    <xf numFmtId="0" fontId="24" fillId="0" borderId="20" xfId="0" applyFont="1" applyFill="1" applyBorder="1" applyAlignment="1" applyProtection="1">
      <alignment vertical="center"/>
      <protection hidden="1"/>
    </xf>
    <xf numFmtId="0" fontId="22" fillId="0" borderId="20"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24" fillId="0" borderId="0" xfId="0" quotePrefix="1" applyFont="1" applyFill="1" applyBorder="1" applyAlignment="1" applyProtection="1">
      <alignment horizontal="center" vertical="center" wrapText="1"/>
      <protection hidden="1"/>
    </xf>
    <xf numFmtId="3" fontId="26" fillId="0" borderId="20" xfId="0" applyNumberFormat="1" applyFont="1" applyFill="1" applyBorder="1" applyAlignment="1" applyProtection="1">
      <alignment vertical="center"/>
      <protection hidden="1"/>
    </xf>
    <xf numFmtId="3" fontId="26" fillId="0" borderId="0" xfId="0" applyNumberFormat="1" applyFont="1" applyFill="1" applyBorder="1" applyAlignment="1" applyProtection="1">
      <alignment vertical="center"/>
      <protection hidden="1"/>
    </xf>
    <xf numFmtId="165" fontId="26" fillId="0" borderId="0" xfId="1" applyNumberFormat="1" applyFont="1" applyFill="1" applyBorder="1" applyAlignment="1" applyProtection="1">
      <alignment horizontal="center" vertical="center"/>
      <protection hidden="1"/>
    </xf>
    <xf numFmtId="171" fontId="27" fillId="0" borderId="10" xfId="0" applyNumberFormat="1" applyFont="1" applyFill="1" applyBorder="1" applyAlignment="1" applyProtection="1">
      <alignment vertical="center"/>
      <protection hidden="1"/>
    </xf>
    <xf numFmtId="165" fontId="27" fillId="0" borderId="10" xfId="1" applyNumberFormat="1" applyFont="1" applyFill="1" applyBorder="1" applyAlignment="1" applyProtection="1">
      <alignment horizontal="center" vertical="center"/>
      <protection hidden="1"/>
    </xf>
    <xf numFmtId="3" fontId="27" fillId="0" borderId="20" xfId="0" applyNumberFormat="1" applyFont="1" applyFill="1" applyBorder="1" applyAlignment="1" applyProtection="1">
      <alignment vertical="center"/>
      <protection hidden="1"/>
    </xf>
    <xf numFmtId="3" fontId="27" fillId="0" borderId="0" xfId="0" applyNumberFormat="1" applyFont="1" applyFill="1" applyBorder="1" applyAlignment="1" applyProtection="1">
      <alignment vertical="center"/>
      <protection hidden="1"/>
    </xf>
    <xf numFmtId="165" fontId="27" fillId="0" borderId="0" xfId="1" applyNumberFormat="1" applyFont="1" applyFill="1" applyBorder="1" applyAlignment="1" applyProtection="1">
      <alignment horizontal="center" vertical="center"/>
      <protection hidden="1"/>
    </xf>
    <xf numFmtId="3" fontId="27" fillId="0" borderId="17" xfId="0" applyNumberFormat="1" applyFont="1" applyFill="1" applyBorder="1" applyAlignment="1" applyProtection="1">
      <alignment vertical="center"/>
      <protection hidden="1"/>
    </xf>
    <xf numFmtId="3" fontId="27" fillId="0" borderId="18" xfId="0" applyNumberFormat="1" applyFont="1" applyFill="1" applyBorder="1" applyAlignment="1" applyProtection="1">
      <alignment vertical="center"/>
      <protection hidden="1"/>
    </xf>
    <xf numFmtId="165" fontId="27" fillId="0" borderId="18" xfId="1" applyNumberFormat="1" applyFont="1" applyFill="1" applyBorder="1" applyAlignment="1" applyProtection="1">
      <alignment horizontal="center" vertical="center"/>
      <protection hidden="1"/>
    </xf>
    <xf numFmtId="0" fontId="25" fillId="0" borderId="18" xfId="0" applyFont="1" applyFill="1" applyBorder="1" applyAlignment="1" applyProtection="1">
      <alignment vertical="center"/>
      <protection hidden="1"/>
    </xf>
    <xf numFmtId="0" fontId="22" fillId="0" borderId="19" xfId="0" applyFont="1" applyFill="1" applyBorder="1" applyAlignment="1" applyProtection="1">
      <alignment vertical="center" wrapText="1"/>
      <protection hidden="1"/>
    </xf>
    <xf numFmtId="0" fontId="21" fillId="30" borderId="0" xfId="0" applyFont="1" applyFill="1" applyBorder="1" applyAlignment="1" applyProtection="1">
      <alignment horizontal="right" vertical="center"/>
      <protection hidden="1"/>
    </xf>
    <xf numFmtId="0" fontId="28" fillId="2" borderId="17" xfId="0" applyFont="1" applyFill="1" applyBorder="1" applyAlignment="1" applyProtection="1">
      <protection hidden="1"/>
    </xf>
    <xf numFmtId="0" fontId="23" fillId="2" borderId="18" xfId="0" applyFont="1" applyFill="1" applyBorder="1" applyAlignment="1" applyProtection="1">
      <alignment vertical="center"/>
      <protection hidden="1"/>
    </xf>
    <xf numFmtId="0" fontId="28" fillId="2" borderId="19" xfId="0" applyFont="1" applyFill="1" applyBorder="1" applyAlignment="1" applyProtection="1">
      <alignment horizontal="right"/>
      <protection hidden="1"/>
    </xf>
    <xf numFmtId="0" fontId="21" fillId="30" borderId="0" xfId="0" applyFont="1" applyFill="1" applyBorder="1" applyAlignment="1" applyProtection="1">
      <alignment vertical="center"/>
      <protection hidden="1"/>
    </xf>
    <xf numFmtId="1" fontId="19" fillId="8" borderId="0" xfId="11" applyNumberFormat="1" applyFont="1" applyFill="1" applyAlignment="1" applyProtection="1">
      <alignment horizontal="left" vertical="center"/>
      <protection hidden="1"/>
    </xf>
    <xf numFmtId="3" fontId="19" fillId="8" borderId="0" xfId="11" applyFont="1" applyFill="1" applyProtection="1">
      <protection hidden="1"/>
    </xf>
    <xf numFmtId="3" fontId="19" fillId="8" borderId="0" xfId="11" applyFont="1" applyFill="1" applyAlignment="1" applyProtection="1">
      <alignment horizontal="center" vertical="center"/>
      <protection hidden="1"/>
    </xf>
    <xf numFmtId="3" fontId="7" fillId="8" borderId="0" xfId="11" applyFont="1" applyFill="1" applyProtection="1">
      <protection hidden="1"/>
    </xf>
    <xf numFmtId="3" fontId="7" fillId="8" borderId="0" xfId="11" applyFont="1" applyFill="1" applyAlignment="1" applyProtection="1">
      <alignment horizontal="center" vertical="center"/>
      <protection hidden="1"/>
    </xf>
    <xf numFmtId="3" fontId="38" fillId="13" borderId="2" xfId="11" applyFont="1" applyFill="1" applyBorder="1" applyAlignment="1" applyProtection="1">
      <alignment horizontal="center" vertical="center"/>
      <protection hidden="1"/>
    </xf>
    <xf numFmtId="0" fontId="24" fillId="2" borderId="14" xfId="0" applyFont="1" applyFill="1" applyBorder="1" applyAlignment="1" applyProtection="1">
      <alignment vertical="center"/>
      <protection hidden="1"/>
    </xf>
    <xf numFmtId="0" fontId="25" fillId="2" borderId="0" xfId="0" applyFont="1" applyFill="1" applyBorder="1" applyAlignment="1" applyProtection="1">
      <alignment vertical="center"/>
      <protection hidden="1"/>
    </xf>
    <xf numFmtId="0" fontId="25" fillId="2" borderId="18" xfId="0" applyFont="1" applyFill="1" applyBorder="1" applyAlignment="1" applyProtection="1">
      <alignment vertical="center"/>
      <protection hidden="1"/>
    </xf>
    <xf numFmtId="0" fontId="24" fillId="3" borderId="11" xfId="0" applyFont="1" applyFill="1" applyBorder="1" applyAlignment="1" applyProtection="1">
      <alignment horizontal="center" vertical="center"/>
      <protection hidden="1"/>
    </xf>
    <xf numFmtId="0" fontId="24" fillId="4" borderId="11" xfId="0" applyFont="1" applyFill="1" applyBorder="1" applyAlignment="1" applyProtection="1">
      <alignment horizontal="center" vertical="center"/>
      <protection hidden="1"/>
    </xf>
    <xf numFmtId="0" fontId="22" fillId="13" borderId="11" xfId="0" applyFont="1" applyFill="1" applyBorder="1" applyAlignment="1" applyProtection="1">
      <alignment horizontal="center" vertical="center"/>
      <protection hidden="1"/>
    </xf>
    <xf numFmtId="0" fontId="22" fillId="5" borderId="11" xfId="0" applyFont="1" applyFill="1" applyBorder="1" applyAlignment="1" applyProtection="1">
      <alignment horizontal="center" vertical="center"/>
      <protection hidden="1"/>
    </xf>
    <xf numFmtId="9" fontId="26" fillId="3" borderId="22" xfId="1" applyFont="1" applyFill="1" applyBorder="1" applyAlignment="1" applyProtection="1">
      <alignment horizontal="center" vertical="center"/>
      <protection hidden="1"/>
    </xf>
    <xf numFmtId="9" fontId="26" fillId="4" borderId="22" xfId="1" applyFont="1" applyFill="1" applyBorder="1" applyAlignment="1" applyProtection="1">
      <alignment horizontal="center" vertical="center"/>
      <protection hidden="1"/>
    </xf>
    <xf numFmtId="9" fontId="29" fillId="13" borderId="22" xfId="1" applyFont="1" applyFill="1" applyBorder="1" applyAlignment="1" applyProtection="1">
      <alignment horizontal="center" vertical="center"/>
      <protection hidden="1"/>
    </xf>
    <xf numFmtId="9" fontId="29" fillId="5" borderId="22" xfId="1" applyFont="1" applyFill="1" applyBorder="1" applyAlignment="1" applyProtection="1">
      <alignment horizontal="center" vertical="center"/>
      <protection hidden="1"/>
    </xf>
    <xf numFmtId="165" fontId="25" fillId="0" borderId="10" xfId="1" applyNumberFormat="1" applyFont="1" applyFill="1" applyBorder="1" applyAlignment="1" applyProtection="1">
      <alignment horizontal="center" vertical="center"/>
      <protection hidden="1"/>
    </xf>
    <xf numFmtId="1" fontId="27" fillId="7" borderId="11" xfId="1" applyNumberFormat="1" applyFont="1" applyFill="1" applyBorder="1" applyAlignment="1" applyProtection="1">
      <alignment horizontal="right" vertical="center"/>
      <protection hidden="1"/>
    </xf>
    <xf numFmtId="0" fontId="22" fillId="20" borderId="13" xfId="0" applyFont="1" applyFill="1" applyBorder="1" applyAlignment="1" applyProtection="1">
      <alignment horizontal="center" vertical="center"/>
      <protection hidden="1"/>
    </xf>
    <xf numFmtId="165" fontId="26" fillId="2" borderId="10" xfId="1" applyNumberFormat="1" applyFont="1" applyFill="1" applyBorder="1" applyAlignment="1" applyProtection="1">
      <alignment horizontal="center" vertical="center"/>
      <protection hidden="1"/>
    </xf>
    <xf numFmtId="173" fontId="25" fillId="30" borderId="0" xfId="0" applyNumberFormat="1" applyFont="1" applyFill="1" applyBorder="1" applyAlignment="1" applyProtection="1">
      <alignment horizontal="right" vertical="center"/>
      <protection hidden="1"/>
    </xf>
    <xf numFmtId="1" fontId="24" fillId="7" borderId="10" xfId="0" applyNumberFormat="1" applyFont="1" applyFill="1" applyBorder="1" applyAlignment="1" applyProtection="1">
      <alignment horizontal="center" vertical="center"/>
      <protection hidden="1"/>
    </xf>
    <xf numFmtId="1" fontId="24" fillId="7" borderId="22" xfId="1" applyNumberFormat="1" applyFont="1" applyFill="1" applyBorder="1" applyAlignment="1" applyProtection="1">
      <alignment horizontal="center" vertical="center"/>
      <protection hidden="1"/>
    </xf>
    <xf numFmtId="2" fontId="26" fillId="0" borderId="10" xfId="1" applyNumberFormat="1" applyFont="1" applyFill="1" applyBorder="1" applyAlignment="1" applyProtection="1">
      <alignment horizontal="center" vertical="center"/>
      <protection hidden="1"/>
    </xf>
    <xf numFmtId="0" fontId="24" fillId="2" borderId="11" xfId="0" applyFont="1" applyFill="1" applyBorder="1" applyAlignment="1" applyProtection="1">
      <alignment horizontal="right" vertical="center"/>
      <protection hidden="1"/>
    </xf>
    <xf numFmtId="172" fontId="33" fillId="18" borderId="22" xfId="1" applyNumberFormat="1" applyFont="1" applyFill="1" applyBorder="1" applyAlignment="1" applyProtection="1">
      <alignment horizontal="center" vertical="center"/>
      <protection hidden="1"/>
    </xf>
    <xf numFmtId="172" fontId="33" fillId="8" borderId="22" xfId="1" applyNumberFormat="1" applyFont="1" applyFill="1" applyBorder="1" applyAlignment="1" applyProtection="1">
      <alignment horizontal="center" vertical="center"/>
      <protection hidden="1"/>
    </xf>
    <xf numFmtId="0" fontId="34" fillId="2" borderId="17" xfId="0" applyFont="1" applyFill="1" applyBorder="1" applyAlignment="1" applyProtection="1">
      <alignment vertical="center"/>
      <protection hidden="1"/>
    </xf>
    <xf numFmtId="0" fontId="25" fillId="22" borderId="20" xfId="0" applyFont="1" applyFill="1" applyBorder="1" applyAlignment="1" applyProtection="1">
      <alignment vertical="center"/>
      <protection hidden="1"/>
    </xf>
    <xf numFmtId="0" fontId="25" fillId="22" borderId="0" xfId="0" applyFont="1" applyFill="1" applyBorder="1" applyAlignment="1" applyProtection="1">
      <alignment vertical="center"/>
      <protection hidden="1"/>
    </xf>
    <xf numFmtId="0" fontId="25" fillId="22" borderId="21" xfId="0" applyFont="1" applyFill="1" applyBorder="1" applyAlignment="1" applyProtection="1">
      <alignment vertical="center"/>
      <protection hidden="1"/>
    </xf>
    <xf numFmtId="0" fontId="25" fillId="27" borderId="17" xfId="0" applyFont="1" applyFill="1" applyBorder="1" applyAlignment="1" applyProtection="1">
      <alignment vertical="center"/>
      <protection hidden="1"/>
    </xf>
    <xf numFmtId="0" fontId="25" fillId="27" borderId="18" xfId="0" applyFont="1" applyFill="1" applyBorder="1" applyAlignment="1" applyProtection="1">
      <alignment vertical="center"/>
      <protection hidden="1"/>
    </xf>
    <xf numFmtId="0" fontId="25" fillId="27" borderId="19" xfId="0" applyFont="1" applyFill="1" applyBorder="1" applyAlignment="1" applyProtection="1">
      <alignment vertical="center"/>
      <protection hidden="1"/>
    </xf>
    <xf numFmtId="1" fontId="24" fillId="7" borderId="22" xfId="0" applyNumberFormat="1" applyFont="1" applyFill="1" applyBorder="1" applyAlignment="1" applyProtection="1">
      <alignment horizontal="center" vertical="center"/>
      <protection hidden="1"/>
    </xf>
    <xf numFmtId="0" fontId="29" fillId="0" borderId="11" xfId="0" applyFont="1" applyFill="1" applyBorder="1" applyAlignment="1" applyProtection="1">
      <alignment horizontal="center" vertical="center" wrapText="1"/>
      <protection hidden="1"/>
    </xf>
    <xf numFmtId="0" fontId="29" fillId="0" borderId="22" xfId="0" applyFont="1" applyFill="1" applyBorder="1" applyAlignment="1" applyProtection="1">
      <alignment vertical="center" wrapText="1"/>
      <protection hidden="1"/>
    </xf>
    <xf numFmtId="9" fontId="29" fillId="0" borderId="22" xfId="1" applyFont="1" applyFill="1" applyBorder="1" applyAlignment="1" applyProtection="1">
      <alignment horizontal="center" vertical="center"/>
      <protection hidden="1"/>
    </xf>
    <xf numFmtId="1" fontId="22" fillId="31" borderId="11" xfId="1" applyNumberFormat="1" applyFont="1" applyFill="1" applyBorder="1" applyAlignment="1" applyProtection="1">
      <alignment horizontal="right" vertical="center"/>
      <protection hidden="1"/>
    </xf>
    <xf numFmtId="3" fontId="29" fillId="0" borderId="10" xfId="1" applyNumberFormat="1" applyFont="1" applyFill="1" applyBorder="1" applyAlignment="1" applyProtection="1">
      <alignment horizontal="center" vertical="center"/>
      <protection hidden="1"/>
    </xf>
    <xf numFmtId="10" fontId="29" fillId="0" borderId="10" xfId="0" quotePrefix="1" applyNumberFormat="1" applyFont="1" applyFill="1" applyBorder="1" applyAlignment="1" applyProtection="1">
      <alignment vertical="center" wrapText="1"/>
      <protection hidden="1"/>
    </xf>
    <xf numFmtId="2" fontId="29" fillId="0" borderId="10" xfId="1" applyNumberFormat="1" applyFont="1" applyFill="1" applyBorder="1" applyAlignment="1" applyProtection="1">
      <alignment horizontal="left" vertical="center"/>
      <protection hidden="1"/>
    </xf>
    <xf numFmtId="172" fontId="25" fillId="30" borderId="0" xfId="0" applyNumberFormat="1" applyFont="1" applyFill="1" applyBorder="1" applyAlignment="1" applyProtection="1">
      <alignment vertical="center"/>
      <protection hidden="1"/>
    </xf>
    <xf numFmtId="1" fontId="22" fillId="34" borderId="11" xfId="1" applyNumberFormat="1" applyFont="1" applyFill="1" applyBorder="1" applyAlignment="1" applyProtection="1">
      <alignment horizontal="right" vertical="center"/>
      <protection hidden="1"/>
    </xf>
    <xf numFmtId="1" fontId="22" fillId="35" borderId="11" xfId="1" applyNumberFormat="1" applyFont="1" applyFill="1" applyBorder="1" applyAlignment="1" applyProtection="1">
      <alignment horizontal="right" vertical="center"/>
      <protection hidden="1"/>
    </xf>
    <xf numFmtId="0" fontId="22" fillId="13" borderId="11" xfId="0" applyFont="1" applyFill="1" applyBorder="1" applyAlignment="1" applyProtection="1">
      <alignment horizontal="right" vertical="center"/>
      <protection hidden="1"/>
    </xf>
    <xf numFmtId="0" fontId="22" fillId="36" borderId="11" xfId="0" applyFont="1" applyFill="1" applyBorder="1" applyAlignment="1" applyProtection="1">
      <alignment horizontal="right" vertical="center"/>
      <protection hidden="1"/>
    </xf>
    <xf numFmtId="0" fontId="27" fillId="6" borderId="11" xfId="0" applyFont="1" applyFill="1" applyBorder="1" applyAlignment="1" applyProtection="1">
      <alignment horizontal="right" vertical="center"/>
      <protection hidden="1"/>
    </xf>
    <xf numFmtId="0" fontId="22" fillId="19" borderId="11" xfId="0" applyFont="1" applyFill="1" applyBorder="1" applyAlignment="1" applyProtection="1">
      <alignment horizontal="right" vertical="center"/>
      <protection hidden="1"/>
    </xf>
    <xf numFmtId="0" fontId="22" fillId="14" borderId="11" xfId="0" applyFont="1" applyFill="1" applyBorder="1" applyAlignment="1" applyProtection="1">
      <alignment horizontal="right" vertical="center"/>
      <protection hidden="1"/>
    </xf>
    <xf numFmtId="0" fontId="22" fillId="22" borderId="11" xfId="0" applyFont="1" applyFill="1" applyBorder="1" applyAlignment="1" applyProtection="1">
      <alignment horizontal="right" vertical="center"/>
      <protection hidden="1"/>
    </xf>
    <xf numFmtId="3" fontId="29" fillId="0" borderId="23" xfId="1" applyNumberFormat="1" applyFont="1" applyFill="1" applyBorder="1" applyAlignment="1" applyProtection="1">
      <alignment horizontal="center" vertical="center"/>
      <protection hidden="1"/>
    </xf>
    <xf numFmtId="0" fontId="22" fillId="0" borderId="11" xfId="0" applyFont="1" applyFill="1" applyBorder="1" applyAlignment="1" applyProtection="1">
      <alignment horizontal="right" vertical="center"/>
      <protection hidden="1"/>
    </xf>
    <xf numFmtId="0" fontId="22" fillId="0" borderId="12" xfId="0" applyFont="1" applyFill="1" applyBorder="1" applyAlignment="1" applyProtection="1">
      <alignment horizontal="center" vertical="center"/>
      <protection hidden="1"/>
    </xf>
    <xf numFmtId="165" fontId="29" fillId="0" borderId="23" xfId="1" applyNumberFormat="1" applyFont="1" applyFill="1" applyBorder="1" applyAlignment="1" applyProtection="1">
      <alignment horizontal="center" vertical="center"/>
      <protection hidden="1"/>
    </xf>
    <xf numFmtId="2" fontId="29" fillId="0" borderId="10" xfId="1" applyNumberFormat="1" applyFont="1" applyFill="1" applyBorder="1" applyAlignment="1" applyProtection="1">
      <alignment horizontal="center" vertical="center"/>
      <protection hidden="1"/>
    </xf>
    <xf numFmtId="0" fontId="22" fillId="0" borderId="11" xfId="0" applyFont="1" applyFill="1" applyBorder="1" applyAlignment="1" applyProtection="1">
      <alignment horizontal="center" vertical="center" wrapText="1"/>
      <protection hidden="1"/>
    </xf>
    <xf numFmtId="3" fontId="22" fillId="0" borderId="10" xfId="1" applyNumberFormat="1" applyFont="1" applyFill="1" applyBorder="1" applyAlignment="1" applyProtection="1">
      <alignment horizontal="center" vertical="center"/>
      <protection hidden="1"/>
    </xf>
    <xf numFmtId="165" fontId="29" fillId="0" borderId="10" xfId="1" applyNumberFormat="1" applyFont="1" applyFill="1" applyBorder="1" applyAlignment="1" applyProtection="1">
      <alignment horizontal="center" vertical="center"/>
      <protection hidden="1"/>
    </xf>
    <xf numFmtId="0" fontId="23" fillId="2" borderId="17" xfId="0" applyFont="1" applyFill="1" applyBorder="1" applyAlignment="1" applyProtection="1">
      <alignment vertical="center"/>
      <protection hidden="1"/>
    </xf>
    <xf numFmtId="3" fontId="43" fillId="2" borderId="18" xfId="0" applyNumberFormat="1" applyFont="1" applyFill="1" applyBorder="1" applyAlignment="1" applyProtection="1">
      <alignment vertical="center"/>
      <protection hidden="1"/>
    </xf>
    <xf numFmtId="0" fontId="43" fillId="2" borderId="18" xfId="0" applyFont="1" applyFill="1" applyBorder="1" applyAlignment="1" applyProtection="1">
      <alignment vertical="center"/>
      <protection hidden="1"/>
    </xf>
    <xf numFmtId="0" fontId="43" fillId="2" borderId="19" xfId="0" applyFont="1" applyFill="1" applyBorder="1" applyAlignment="1" applyProtection="1">
      <alignment vertical="center"/>
      <protection hidden="1"/>
    </xf>
    <xf numFmtId="0" fontId="34" fillId="2" borderId="18" xfId="0" applyFont="1" applyFill="1" applyBorder="1" applyAlignment="1" applyProtection="1">
      <alignment vertical="center"/>
      <protection hidden="1"/>
    </xf>
    <xf numFmtId="0" fontId="29" fillId="30" borderId="0" xfId="0" applyFont="1" applyFill="1" applyBorder="1" applyAlignment="1" applyProtection="1">
      <alignment vertical="center"/>
      <protection hidden="1"/>
    </xf>
    <xf numFmtId="0" fontId="24" fillId="0" borderId="11" xfId="0" applyFont="1" applyFill="1" applyBorder="1" applyAlignment="1" applyProtection="1">
      <alignment vertical="center"/>
      <protection hidden="1"/>
    </xf>
    <xf numFmtId="0" fontId="24" fillId="0" borderId="13" xfId="0" applyFont="1" applyFill="1" applyBorder="1" applyAlignment="1" applyProtection="1">
      <alignment vertical="center"/>
      <protection hidden="1"/>
    </xf>
    <xf numFmtId="0" fontId="22" fillId="0" borderId="11" xfId="0" applyFont="1" applyFill="1" applyBorder="1" applyAlignment="1" applyProtection="1">
      <alignment vertical="center"/>
      <protection hidden="1"/>
    </xf>
    <xf numFmtId="0" fontId="22" fillId="0" borderId="12" xfId="0" applyFont="1" applyFill="1" applyBorder="1" applyAlignment="1" applyProtection="1">
      <alignment vertical="center"/>
      <protection hidden="1"/>
    </xf>
    <xf numFmtId="0" fontId="22" fillId="0" borderId="13" xfId="0" applyFont="1" applyFill="1" applyBorder="1" applyAlignment="1" applyProtection="1">
      <alignment vertical="center"/>
      <protection hidden="1"/>
    </xf>
    <xf numFmtId="0" fontId="22" fillId="0" borderId="23" xfId="0" applyFont="1" applyFill="1" applyBorder="1" applyAlignment="1" applyProtection="1">
      <alignment vertical="center" wrapText="1"/>
      <protection hidden="1"/>
    </xf>
    <xf numFmtId="0" fontId="27" fillId="0" borderId="20" xfId="0" applyFont="1" applyFill="1" applyBorder="1" applyAlignment="1" applyProtection="1">
      <alignment vertical="center"/>
      <protection hidden="1"/>
    </xf>
    <xf numFmtId="0" fontId="27" fillId="0" borderId="0" xfId="0" applyFont="1" applyFill="1" applyBorder="1" applyAlignment="1" applyProtection="1">
      <alignment vertical="center"/>
      <protection hidden="1"/>
    </xf>
    <xf numFmtId="0" fontId="27" fillId="0" borderId="21" xfId="0" applyFont="1" applyFill="1" applyBorder="1" applyAlignment="1" applyProtection="1">
      <alignment vertical="center"/>
      <protection hidden="1"/>
    </xf>
    <xf numFmtId="0" fontId="24" fillId="0" borderId="12" xfId="0" applyFont="1" applyFill="1" applyBorder="1" applyAlignment="1" applyProtection="1">
      <alignment vertical="center"/>
      <protection hidden="1"/>
    </xf>
    <xf numFmtId="0" fontId="22" fillId="0" borderId="11" xfId="0" applyFont="1" applyFill="1" applyBorder="1" applyAlignment="1" applyProtection="1">
      <alignment vertical="center" wrapText="1"/>
      <protection hidden="1"/>
    </xf>
    <xf numFmtId="0" fontId="22" fillId="0" borderId="12" xfId="0" applyFont="1" applyFill="1" applyBorder="1" applyAlignment="1" applyProtection="1">
      <alignment vertical="center" wrapText="1"/>
      <protection hidden="1"/>
    </xf>
    <xf numFmtId="0" fontId="22" fillId="0" borderId="13" xfId="0" applyFont="1" applyFill="1" applyBorder="1" applyAlignment="1" applyProtection="1">
      <alignment vertical="center" wrapText="1"/>
      <protection hidden="1"/>
    </xf>
    <xf numFmtId="0" fontId="22" fillId="0" borderId="24" xfId="0" applyFont="1" applyFill="1" applyBorder="1" applyAlignment="1" applyProtection="1">
      <alignment vertical="center" wrapText="1"/>
      <protection hidden="1"/>
    </xf>
    <xf numFmtId="0" fontId="27" fillId="0" borderId="17" xfId="0" applyFont="1" applyFill="1" applyBorder="1" applyAlignment="1" applyProtection="1">
      <alignment vertical="center"/>
      <protection hidden="1"/>
    </xf>
    <xf numFmtId="0" fontId="27" fillId="0" borderId="18" xfId="0" applyFont="1" applyFill="1" applyBorder="1" applyAlignment="1" applyProtection="1">
      <alignment vertical="center"/>
      <protection hidden="1"/>
    </xf>
    <xf numFmtId="0" fontId="27" fillId="0" borderId="19" xfId="0" applyFont="1" applyFill="1" applyBorder="1" applyAlignment="1" applyProtection="1">
      <alignment vertical="center"/>
      <protection hidden="1"/>
    </xf>
    <xf numFmtId="0" fontId="25" fillId="0" borderId="11" xfId="0" applyFont="1" applyFill="1" applyBorder="1" applyAlignment="1" applyProtection="1">
      <alignment vertical="center"/>
      <protection hidden="1"/>
    </xf>
    <xf numFmtId="0" fontId="25" fillId="0" borderId="13" xfId="0" applyFont="1" applyFill="1" applyBorder="1" applyAlignment="1" applyProtection="1">
      <alignment vertical="center"/>
      <protection hidden="1"/>
    </xf>
    <xf numFmtId="0" fontId="24" fillId="0" borderId="11" xfId="0" applyFont="1" applyFill="1" applyBorder="1" applyAlignment="1" applyProtection="1">
      <alignment horizontal="center" vertical="center"/>
      <protection hidden="1"/>
    </xf>
    <xf numFmtId="0" fontId="22" fillId="0" borderId="11" xfId="0" applyFont="1" applyFill="1" applyBorder="1" applyAlignment="1" applyProtection="1">
      <alignment horizontal="center" vertical="center"/>
      <protection hidden="1"/>
    </xf>
    <xf numFmtId="0" fontId="22" fillId="0" borderId="22" xfId="0" applyFont="1" applyFill="1" applyBorder="1" applyAlignment="1" applyProtection="1">
      <alignment vertical="center" wrapText="1"/>
      <protection hidden="1"/>
    </xf>
    <xf numFmtId="9" fontId="26" fillId="0" borderId="22" xfId="1" applyFont="1" applyFill="1" applyBorder="1" applyAlignment="1" applyProtection="1">
      <alignment horizontal="center" vertical="center"/>
      <protection hidden="1"/>
    </xf>
    <xf numFmtId="0" fontId="27" fillId="0" borderId="10" xfId="0" applyFont="1" applyFill="1" applyBorder="1" applyAlignment="1" applyProtection="1">
      <alignment vertical="center"/>
      <protection hidden="1"/>
    </xf>
    <xf numFmtId="0" fontId="24" fillId="0" borderId="10" xfId="0" quotePrefix="1" applyFont="1" applyFill="1" applyBorder="1" applyAlignment="1" applyProtection="1">
      <alignment vertical="center" textRotation="90" wrapText="1"/>
      <protection hidden="1"/>
    </xf>
    <xf numFmtId="1" fontId="27" fillId="0" borderId="11" xfId="1" applyNumberFormat="1" applyFont="1" applyFill="1" applyBorder="1" applyAlignment="1" applyProtection="1">
      <alignment horizontal="right" vertical="center"/>
      <protection hidden="1"/>
    </xf>
    <xf numFmtId="0" fontId="22" fillId="0" borderId="13" xfId="0" applyFont="1" applyFill="1" applyBorder="1" applyAlignment="1" applyProtection="1">
      <alignment horizontal="center" vertical="center"/>
      <protection hidden="1"/>
    </xf>
    <xf numFmtId="171" fontId="35" fillId="0" borderId="10" xfId="7" applyNumberFormat="1" applyFont="1" applyFill="1" applyBorder="1" applyAlignment="1" applyProtection="1">
      <alignment horizontal="center" vertical="center"/>
      <protection hidden="1"/>
    </xf>
    <xf numFmtId="171" fontId="33" fillId="0" borderId="10" xfId="7" applyNumberFormat="1" applyFont="1" applyFill="1" applyBorder="1" applyAlignment="1" applyProtection="1">
      <alignment horizontal="center" vertical="center"/>
      <protection hidden="1"/>
    </xf>
    <xf numFmtId="174" fontId="29" fillId="30" borderId="0" xfId="0" applyNumberFormat="1" applyFont="1" applyFill="1" applyBorder="1" applyAlignment="1" applyProtection="1">
      <alignment vertical="center"/>
      <protection hidden="1"/>
    </xf>
    <xf numFmtId="171" fontId="35" fillId="0" borderId="12" xfId="7" applyNumberFormat="1" applyFont="1" applyFill="1" applyBorder="1" applyAlignment="1" applyProtection="1">
      <alignment horizontal="center" vertical="center"/>
      <protection hidden="1"/>
    </xf>
    <xf numFmtId="171" fontId="33" fillId="0" borderId="12" xfId="7" applyNumberFormat="1" applyFont="1" applyFill="1" applyBorder="1" applyAlignment="1" applyProtection="1">
      <alignment horizontal="center" vertical="center"/>
      <protection hidden="1"/>
    </xf>
    <xf numFmtId="171" fontId="33" fillId="0" borderId="11" xfId="7" applyNumberFormat="1" applyFont="1" applyFill="1" applyBorder="1" applyAlignment="1" applyProtection="1">
      <alignment horizontal="center" vertical="center"/>
      <protection hidden="1"/>
    </xf>
    <xf numFmtId="165" fontId="26" fillId="0" borderId="12" xfId="1" applyNumberFormat="1" applyFont="1" applyFill="1" applyBorder="1" applyAlignment="1" applyProtection="1">
      <alignment horizontal="center" vertical="center"/>
      <protection hidden="1"/>
    </xf>
    <xf numFmtId="171" fontId="33" fillId="0" borderId="13" xfId="7" applyNumberFormat="1" applyFont="1" applyFill="1" applyBorder="1" applyAlignment="1" applyProtection="1">
      <alignment horizontal="center" vertical="center"/>
      <protection hidden="1"/>
    </xf>
    <xf numFmtId="171" fontId="35" fillId="0" borderId="18" xfId="7" applyNumberFormat="1" applyFont="1" applyFill="1" applyBorder="1" applyAlignment="1" applyProtection="1">
      <alignment horizontal="center" vertical="center"/>
      <protection hidden="1"/>
    </xf>
    <xf numFmtId="171" fontId="33" fillId="0" borderId="18" xfId="7" applyNumberFormat="1" applyFont="1" applyFill="1" applyBorder="1" applyAlignment="1" applyProtection="1">
      <alignment horizontal="center" vertical="center"/>
      <protection hidden="1"/>
    </xf>
    <xf numFmtId="171" fontId="33" fillId="0" borderId="19" xfId="7" applyNumberFormat="1" applyFont="1" applyFill="1" applyBorder="1" applyAlignment="1" applyProtection="1">
      <alignment horizontal="center" vertical="center"/>
      <protection hidden="1"/>
    </xf>
    <xf numFmtId="0" fontId="24" fillId="14" borderId="17" xfId="0" applyFont="1" applyFill="1" applyBorder="1" applyAlignment="1" applyProtection="1">
      <alignment horizontal="center" vertical="center"/>
      <protection hidden="1"/>
    </xf>
    <xf numFmtId="0" fontId="24" fillId="14" borderId="0" xfId="0" applyFont="1" applyFill="1" applyBorder="1" applyAlignment="1" applyProtection="1">
      <alignment horizontal="center" vertical="center"/>
      <protection hidden="1"/>
    </xf>
    <xf numFmtId="0" fontId="22" fillId="31" borderId="11" xfId="0" applyFont="1" applyFill="1" applyBorder="1" applyAlignment="1" applyProtection="1">
      <alignment horizontal="center" vertical="center" wrapText="1"/>
      <protection hidden="1"/>
    </xf>
    <xf numFmtId="0" fontId="22" fillId="27" borderId="13" xfId="0" applyFont="1" applyFill="1" applyBorder="1" applyAlignment="1" applyProtection="1">
      <alignment horizontal="center" vertical="center" wrapText="1"/>
      <protection hidden="1"/>
    </xf>
    <xf numFmtId="0" fontId="24" fillId="2" borderId="10" xfId="0" quotePrefix="1" applyFont="1" applyFill="1" applyBorder="1" applyAlignment="1" applyProtection="1">
      <alignment horizontal="center" vertical="center" wrapText="1"/>
      <protection hidden="1"/>
    </xf>
    <xf numFmtId="0" fontId="22" fillId="25" borderId="11" xfId="0" applyFont="1" applyFill="1" applyBorder="1" applyAlignment="1" applyProtection="1">
      <alignment horizontal="right" vertical="center"/>
      <protection hidden="1"/>
    </xf>
    <xf numFmtId="0" fontId="22" fillId="24" borderId="11" xfId="0" applyFont="1" applyFill="1" applyBorder="1" applyAlignment="1" applyProtection="1">
      <alignment horizontal="right" vertical="center"/>
      <protection hidden="1"/>
    </xf>
    <xf numFmtId="0" fontId="22" fillId="4" borderId="11" xfId="0" applyFont="1" applyFill="1" applyBorder="1" applyAlignment="1" applyProtection="1">
      <alignment horizontal="right" vertical="center"/>
      <protection hidden="1"/>
    </xf>
    <xf numFmtId="170" fontId="26" fillId="7" borderId="11" xfId="0" applyNumberFormat="1" applyFont="1" applyFill="1" applyBorder="1" applyAlignment="1" applyProtection="1">
      <alignment vertical="center"/>
      <protection hidden="1"/>
    </xf>
    <xf numFmtId="170" fontId="26" fillId="7" borderId="12" xfId="0" applyNumberFormat="1" applyFont="1" applyFill="1" applyBorder="1" applyAlignment="1" applyProtection="1">
      <alignment vertical="center"/>
      <protection hidden="1"/>
    </xf>
    <xf numFmtId="165" fontId="26" fillId="7" borderId="12" xfId="1" applyNumberFormat="1" applyFont="1" applyFill="1" applyBorder="1" applyAlignment="1" applyProtection="1">
      <alignment horizontal="center" vertical="center"/>
      <protection hidden="1"/>
    </xf>
    <xf numFmtId="165" fontId="26" fillId="7" borderId="13" xfId="1" applyNumberFormat="1" applyFont="1" applyFill="1" applyBorder="1" applyAlignment="1" applyProtection="1">
      <alignment horizontal="center" vertical="center"/>
      <protection hidden="1"/>
    </xf>
    <xf numFmtId="0" fontId="24" fillId="32" borderId="11" xfId="0" applyFont="1" applyFill="1" applyBorder="1" applyAlignment="1" applyProtection="1">
      <alignment horizontal="right" vertical="center"/>
      <protection hidden="1"/>
    </xf>
    <xf numFmtId="3" fontId="26" fillId="10" borderId="10" xfId="0" applyNumberFormat="1" applyFont="1" applyFill="1" applyBorder="1" applyAlignment="1" applyProtection="1">
      <alignment vertical="center"/>
      <protection hidden="1"/>
    </xf>
    <xf numFmtId="3" fontId="26" fillId="6" borderId="10" xfId="0" applyNumberFormat="1" applyFont="1" applyFill="1" applyBorder="1" applyAlignment="1" applyProtection="1">
      <alignment vertical="center"/>
      <protection hidden="1"/>
    </xf>
    <xf numFmtId="0" fontId="24" fillId="23" borderId="11" xfId="0" applyFont="1" applyFill="1" applyBorder="1" applyAlignment="1" applyProtection="1">
      <alignment horizontal="right" vertical="center"/>
      <protection hidden="1"/>
    </xf>
    <xf numFmtId="0" fontId="25" fillId="2" borderId="14" xfId="0" applyFont="1" applyFill="1" applyBorder="1" applyAlignment="1" applyProtection="1">
      <alignment vertical="center"/>
      <protection hidden="1"/>
    </xf>
    <xf numFmtId="0" fontId="25" fillId="2" borderId="15" xfId="0" applyFont="1" applyFill="1" applyBorder="1" applyAlignment="1" applyProtection="1">
      <alignment vertical="center"/>
      <protection hidden="1"/>
    </xf>
    <xf numFmtId="0" fontId="25" fillId="2" borderId="16" xfId="0" applyFont="1" applyFill="1" applyBorder="1" applyAlignment="1" applyProtection="1">
      <alignment vertical="center"/>
      <protection hidden="1"/>
    </xf>
    <xf numFmtId="0" fontId="25" fillId="2" borderId="20" xfId="0" applyFont="1" applyFill="1" applyBorder="1" applyAlignment="1" applyProtection="1">
      <alignment vertical="center"/>
      <protection hidden="1"/>
    </xf>
    <xf numFmtId="0" fontId="25" fillId="2" borderId="21" xfId="0" applyFont="1" applyFill="1" applyBorder="1" applyAlignment="1" applyProtection="1">
      <alignment vertical="center"/>
      <protection hidden="1"/>
    </xf>
    <xf numFmtId="0" fontId="25" fillId="2" borderId="17" xfId="0" applyFont="1" applyFill="1" applyBorder="1" applyAlignment="1" applyProtection="1">
      <alignment vertical="center"/>
      <protection hidden="1"/>
    </xf>
    <xf numFmtId="0" fontId="25" fillId="2" borderId="19" xfId="0" applyFont="1" applyFill="1" applyBorder="1" applyAlignment="1" applyProtection="1">
      <alignment vertical="center"/>
      <protection hidden="1"/>
    </xf>
    <xf numFmtId="0" fontId="24" fillId="2" borderId="17" xfId="0" quotePrefix="1" applyFont="1" applyFill="1" applyBorder="1" applyAlignment="1" applyProtection="1">
      <alignment horizontal="center" vertical="center" wrapText="1"/>
      <protection hidden="1"/>
    </xf>
    <xf numFmtId="0" fontId="24" fillId="2" borderId="22" xfId="0" quotePrefix="1" applyFont="1" applyFill="1" applyBorder="1" applyAlignment="1" applyProtection="1">
      <alignment horizontal="center" vertical="center" wrapText="1"/>
      <protection hidden="1"/>
    </xf>
    <xf numFmtId="165" fontId="27" fillId="2" borderId="10" xfId="1" applyNumberFormat="1" applyFont="1" applyFill="1" applyBorder="1" applyAlignment="1" applyProtection="1">
      <alignment horizontal="center" vertical="center"/>
      <protection hidden="1"/>
    </xf>
    <xf numFmtId="3" fontId="27" fillId="3" borderId="10" xfId="0" applyNumberFormat="1" applyFont="1" applyFill="1" applyBorder="1" applyAlignment="1" applyProtection="1">
      <alignment vertical="center"/>
      <protection hidden="1"/>
    </xf>
    <xf numFmtId="3" fontId="27" fillId="7" borderId="10" xfId="0" applyNumberFormat="1" applyFont="1" applyFill="1" applyBorder="1" applyAlignment="1" applyProtection="1">
      <alignment vertical="center"/>
      <protection hidden="1"/>
    </xf>
    <xf numFmtId="3" fontId="27" fillId="4" borderId="10" xfId="0" applyNumberFormat="1" applyFont="1" applyFill="1" applyBorder="1" applyAlignment="1" applyProtection="1">
      <alignment vertical="center"/>
      <protection hidden="1"/>
    </xf>
    <xf numFmtId="3" fontId="27" fillId="21" borderId="10" xfId="0" applyNumberFormat="1" applyFont="1" applyFill="1" applyBorder="1" applyAlignment="1" applyProtection="1">
      <alignment vertical="center"/>
      <protection hidden="1"/>
    </xf>
    <xf numFmtId="0" fontId="21" fillId="2" borderId="15" xfId="0" applyFont="1" applyFill="1" applyBorder="1" applyAlignment="1" applyProtection="1">
      <alignment vertical="center"/>
      <protection hidden="1"/>
    </xf>
    <xf numFmtId="0" fontId="24" fillId="2" borderId="20" xfId="0" applyFont="1" applyFill="1" applyBorder="1" applyAlignment="1" applyProtection="1">
      <alignment vertical="center"/>
      <protection hidden="1"/>
    </xf>
    <xf numFmtId="0" fontId="24" fillId="2" borderId="0" xfId="0" applyFont="1" applyFill="1" applyBorder="1" applyAlignment="1" applyProtection="1">
      <alignment vertical="center"/>
      <protection hidden="1"/>
    </xf>
    <xf numFmtId="0" fontId="21" fillId="2" borderId="18" xfId="0" applyFont="1" applyFill="1" applyBorder="1" applyAlignment="1" applyProtection="1">
      <alignment vertical="center"/>
      <protection hidden="1"/>
    </xf>
    <xf numFmtId="0" fontId="24" fillId="2" borderId="20" xfId="0" applyFont="1" applyFill="1" applyBorder="1" applyAlignment="1" applyProtection="1">
      <alignment vertical="center" wrapText="1"/>
      <protection hidden="1"/>
    </xf>
    <xf numFmtId="0" fontId="24" fillId="2" borderId="0" xfId="0" applyFont="1" applyFill="1" applyBorder="1" applyAlignment="1" applyProtection="1">
      <alignment vertical="center" wrapText="1"/>
      <protection hidden="1"/>
    </xf>
    <xf numFmtId="0" fontId="24" fillId="2" borderId="0" xfId="0" applyFont="1" applyFill="1" applyBorder="1" applyAlignment="1" applyProtection="1">
      <alignment horizontal="center" vertical="center"/>
      <protection hidden="1"/>
    </xf>
    <xf numFmtId="0" fontId="22" fillId="2" borderId="0" xfId="0" applyFont="1" applyFill="1" applyBorder="1" applyAlignment="1" applyProtection="1">
      <alignment vertical="center" wrapText="1"/>
      <protection hidden="1"/>
    </xf>
    <xf numFmtId="0" fontId="22" fillId="2" borderId="21" xfId="0" applyFont="1" applyFill="1" applyBorder="1" applyAlignment="1" applyProtection="1">
      <alignment vertical="center" wrapText="1"/>
      <protection hidden="1"/>
    </xf>
    <xf numFmtId="0" fontId="22" fillId="2" borderId="0" xfId="0" applyFont="1" applyFill="1" applyBorder="1" applyAlignment="1" applyProtection="1">
      <alignment horizontal="center" vertical="center" wrapText="1"/>
      <protection hidden="1"/>
    </xf>
    <xf numFmtId="0" fontId="24" fillId="2" borderId="0" xfId="0" quotePrefix="1" applyFont="1" applyFill="1" applyBorder="1" applyAlignment="1" applyProtection="1">
      <alignment horizontal="center" vertical="center" wrapText="1"/>
      <protection hidden="1"/>
    </xf>
    <xf numFmtId="0" fontId="24" fillId="2" borderId="21" xfId="0" quotePrefix="1" applyFont="1" applyFill="1" applyBorder="1" applyAlignment="1" applyProtection="1">
      <alignment horizontal="center" vertical="center" wrapText="1"/>
      <protection hidden="1"/>
    </xf>
    <xf numFmtId="0" fontId="22" fillId="2" borderId="20" xfId="0" applyFont="1" applyFill="1" applyBorder="1" applyAlignment="1" applyProtection="1">
      <alignment horizontal="right" vertical="center"/>
      <protection hidden="1"/>
    </xf>
    <xf numFmtId="0" fontId="22" fillId="2" borderId="0" xfId="0" applyFont="1" applyFill="1" applyBorder="1" applyAlignment="1" applyProtection="1">
      <alignment horizontal="center" vertical="center"/>
      <protection hidden="1"/>
    </xf>
    <xf numFmtId="170" fontId="26" fillId="2" borderId="0" xfId="0" applyNumberFormat="1" applyFont="1" applyFill="1" applyBorder="1" applyAlignment="1" applyProtection="1">
      <alignment vertical="center"/>
      <protection hidden="1"/>
    </xf>
    <xf numFmtId="165" fontId="26" fillId="2" borderId="0" xfId="1" applyNumberFormat="1" applyFont="1" applyFill="1" applyBorder="1" applyAlignment="1" applyProtection="1">
      <alignment horizontal="center" vertical="center"/>
      <protection hidden="1"/>
    </xf>
    <xf numFmtId="165" fontId="26" fillId="2" borderId="21" xfId="1" applyNumberFormat="1" applyFont="1" applyFill="1" applyBorder="1" applyAlignment="1" applyProtection="1">
      <alignment horizontal="center" vertical="center"/>
      <protection hidden="1"/>
    </xf>
    <xf numFmtId="171" fontId="26" fillId="2" borderId="0" xfId="0" applyNumberFormat="1" applyFont="1" applyFill="1" applyBorder="1" applyAlignment="1" applyProtection="1">
      <alignment vertical="center"/>
      <protection hidden="1"/>
    </xf>
    <xf numFmtId="0" fontId="24" fillId="2" borderId="20" xfId="0" applyFont="1" applyFill="1" applyBorder="1" applyAlignment="1" applyProtection="1">
      <alignment horizontal="right" vertical="center"/>
      <protection hidden="1"/>
    </xf>
    <xf numFmtId="3" fontId="26" fillId="2" borderId="0" xfId="0" applyNumberFormat="1" applyFont="1" applyFill="1" applyBorder="1" applyAlignment="1" applyProtection="1">
      <alignment vertical="center"/>
      <protection hidden="1"/>
    </xf>
    <xf numFmtId="0" fontId="22" fillId="2" borderId="20" xfId="0" applyFont="1" applyFill="1" applyBorder="1" applyAlignment="1" applyProtection="1">
      <alignment vertical="center"/>
      <protection hidden="1"/>
    </xf>
    <xf numFmtId="0" fontId="22" fillId="2" borderId="0" xfId="0" applyFont="1" applyFill="1" applyBorder="1" applyAlignment="1" applyProtection="1">
      <alignment vertical="center"/>
      <protection hidden="1"/>
    </xf>
    <xf numFmtId="0" fontId="22" fillId="2" borderId="21" xfId="0" applyFont="1" applyFill="1" applyBorder="1" applyAlignment="1" applyProtection="1">
      <alignment vertical="center"/>
      <protection hidden="1"/>
    </xf>
    <xf numFmtId="0" fontId="22" fillId="6" borderId="2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24" fillId="6" borderId="20" xfId="0" applyFont="1" applyFill="1" applyBorder="1" applyAlignment="1" applyProtection="1">
      <alignment vertical="center"/>
      <protection hidden="1"/>
    </xf>
    <xf numFmtId="0" fontId="24" fillId="6" borderId="0" xfId="0" applyFont="1" applyFill="1" applyBorder="1" applyAlignment="1" applyProtection="1">
      <alignment vertical="center"/>
      <protection hidden="1"/>
    </xf>
    <xf numFmtId="0" fontId="24" fillId="6" borderId="21" xfId="0" applyFont="1" applyFill="1" applyBorder="1" applyAlignment="1" applyProtection="1">
      <alignment vertical="center"/>
      <protection hidden="1"/>
    </xf>
    <xf numFmtId="0" fontId="22" fillId="6" borderId="0" xfId="0" applyFont="1" applyFill="1" applyBorder="1" applyAlignment="1" applyProtection="1">
      <alignment horizontal="center" vertical="center" wrapText="1"/>
      <protection hidden="1"/>
    </xf>
    <xf numFmtId="0" fontId="24" fillId="6" borderId="0" xfId="0" quotePrefix="1" applyFont="1" applyFill="1" applyBorder="1" applyAlignment="1" applyProtection="1">
      <alignment horizontal="center" vertical="center" wrapText="1"/>
      <protection hidden="1"/>
    </xf>
    <xf numFmtId="171" fontId="26" fillId="6" borderId="0" xfId="0" applyNumberFormat="1" applyFont="1" applyFill="1" applyBorder="1" applyAlignment="1" applyProtection="1">
      <alignment vertical="center"/>
      <protection hidden="1"/>
    </xf>
    <xf numFmtId="165" fontId="26" fillId="6" borderId="0" xfId="1" applyNumberFormat="1" applyFont="1" applyFill="1" applyBorder="1" applyAlignment="1" applyProtection="1">
      <alignment horizontal="center" vertical="center"/>
      <protection hidden="1"/>
    </xf>
    <xf numFmtId="3" fontId="26" fillId="6" borderId="0" xfId="0" applyNumberFormat="1" applyFont="1" applyFill="1" applyBorder="1" applyAlignment="1" applyProtection="1">
      <alignment vertical="center"/>
      <protection hidden="1"/>
    </xf>
    <xf numFmtId="0" fontId="25" fillId="21" borderId="20" xfId="0" applyFont="1" applyFill="1" applyBorder="1" applyAlignment="1" applyProtection="1">
      <alignment vertical="center"/>
      <protection hidden="1"/>
    </xf>
    <xf numFmtId="0" fontId="25" fillId="21" borderId="0" xfId="0" applyFont="1" applyFill="1" applyBorder="1" applyAlignment="1" applyProtection="1">
      <alignment vertical="center"/>
      <protection hidden="1"/>
    </xf>
    <xf numFmtId="171" fontId="27" fillId="21" borderId="0" xfId="0" applyNumberFormat="1" applyFont="1" applyFill="1" applyBorder="1" applyAlignment="1" applyProtection="1">
      <alignment vertical="center"/>
      <protection hidden="1"/>
    </xf>
    <xf numFmtId="165" fontId="27" fillId="21" borderId="0" xfId="1" applyNumberFormat="1" applyFont="1" applyFill="1" applyBorder="1" applyAlignment="1" applyProtection="1">
      <alignment horizontal="center" vertical="center"/>
      <protection hidden="1"/>
    </xf>
    <xf numFmtId="0" fontId="22" fillId="21" borderId="0" xfId="0" applyFont="1" applyFill="1" applyBorder="1" applyAlignment="1" applyProtection="1">
      <alignment vertical="center"/>
      <protection hidden="1"/>
    </xf>
    <xf numFmtId="3" fontId="27" fillId="21" borderId="0" xfId="0" applyNumberFormat="1" applyFont="1" applyFill="1" applyBorder="1" applyAlignment="1" applyProtection="1">
      <alignment vertical="center"/>
      <protection hidden="1"/>
    </xf>
    <xf numFmtId="0" fontId="25" fillId="21" borderId="21" xfId="0" applyFont="1" applyFill="1" applyBorder="1" applyAlignment="1" applyProtection="1">
      <alignment vertical="center"/>
      <protection hidden="1"/>
    </xf>
    <xf numFmtId="171" fontId="26" fillId="21" borderId="0" xfId="0" applyNumberFormat="1" applyFont="1" applyFill="1" applyBorder="1" applyAlignment="1" applyProtection="1">
      <alignment vertical="center"/>
      <protection hidden="1"/>
    </xf>
    <xf numFmtId="165" fontId="26" fillId="21" borderId="0" xfId="1" applyNumberFormat="1" applyFont="1" applyFill="1" applyBorder="1" applyAlignment="1" applyProtection="1">
      <alignment horizontal="center" vertical="center"/>
      <protection hidden="1"/>
    </xf>
    <xf numFmtId="3" fontId="26" fillId="21" borderId="0" xfId="0" applyNumberFormat="1" applyFont="1" applyFill="1" applyBorder="1" applyAlignment="1" applyProtection="1">
      <alignment vertical="center"/>
      <protection hidden="1"/>
    </xf>
    <xf numFmtId="0" fontId="25" fillId="21" borderId="17" xfId="0" applyFont="1" applyFill="1" applyBorder="1" applyAlignment="1" applyProtection="1">
      <alignment vertical="center"/>
      <protection hidden="1"/>
    </xf>
    <xf numFmtId="0" fontId="25" fillId="21" borderId="18" xfId="0" applyFont="1" applyFill="1" applyBorder="1" applyAlignment="1" applyProtection="1">
      <alignment vertical="center"/>
      <protection hidden="1"/>
    </xf>
    <xf numFmtId="171" fontId="27" fillId="21" borderId="18" xfId="0" applyNumberFormat="1" applyFont="1" applyFill="1" applyBorder="1" applyAlignment="1" applyProtection="1">
      <alignment vertical="center"/>
      <protection hidden="1"/>
    </xf>
    <xf numFmtId="165" fontId="27" fillId="21" borderId="18" xfId="1" applyNumberFormat="1" applyFont="1" applyFill="1" applyBorder="1" applyAlignment="1" applyProtection="1">
      <alignment horizontal="center" vertical="center"/>
      <protection hidden="1"/>
    </xf>
    <xf numFmtId="0" fontId="22" fillId="21" borderId="18" xfId="0" applyFont="1" applyFill="1" applyBorder="1" applyAlignment="1" applyProtection="1">
      <alignment vertical="center"/>
      <protection hidden="1"/>
    </xf>
    <xf numFmtId="3" fontId="27" fillId="21" borderId="18" xfId="0" applyNumberFormat="1" applyFont="1" applyFill="1" applyBorder="1" applyAlignment="1" applyProtection="1">
      <alignment vertical="center"/>
      <protection hidden="1"/>
    </xf>
    <xf numFmtId="0" fontId="25" fillId="21" borderId="19" xfId="0" applyFont="1" applyFill="1" applyBorder="1" applyAlignment="1" applyProtection="1">
      <alignment vertical="center"/>
      <protection hidden="1"/>
    </xf>
    <xf numFmtId="0" fontId="22" fillId="27" borderId="11" xfId="0" applyFont="1" applyFill="1" applyBorder="1" applyAlignment="1" applyProtection="1">
      <alignment horizontal="right" vertical="center"/>
      <protection hidden="1"/>
    </xf>
    <xf numFmtId="171" fontId="33" fillId="0" borderId="10" xfId="1" applyNumberFormat="1" applyFont="1" applyFill="1" applyBorder="1" applyAlignment="1" applyProtection="1">
      <alignment horizontal="center" vertical="center"/>
      <protection hidden="1"/>
    </xf>
    <xf numFmtId="0" fontId="31" fillId="26" borderId="14" xfId="0" applyFont="1" applyFill="1" applyBorder="1" applyAlignment="1" applyProtection="1">
      <alignment vertical="center"/>
      <protection hidden="1"/>
    </xf>
    <xf numFmtId="0" fontId="31" fillId="26" borderId="17" xfId="0" applyFont="1" applyFill="1" applyBorder="1" applyAlignment="1" applyProtection="1">
      <alignment vertical="center"/>
      <protection hidden="1"/>
    </xf>
    <xf numFmtId="0" fontId="25" fillId="26" borderId="18" xfId="0" applyFont="1" applyFill="1" applyBorder="1" applyAlignment="1" applyProtection="1">
      <alignment vertical="center"/>
      <protection hidden="1"/>
    </xf>
    <xf numFmtId="0" fontId="24" fillId="26" borderId="18" xfId="0" applyFont="1" applyFill="1" applyBorder="1" applyAlignment="1" applyProtection="1">
      <alignment vertical="center"/>
      <protection hidden="1"/>
    </xf>
    <xf numFmtId="0" fontId="30" fillId="28" borderId="14" xfId="0" applyFont="1" applyFill="1" applyBorder="1" applyAlignment="1" applyProtection="1">
      <alignment vertical="center"/>
      <protection hidden="1"/>
    </xf>
    <xf numFmtId="0" fontId="30" fillId="28" borderId="17" xfId="0" applyFont="1" applyFill="1" applyBorder="1" applyAlignment="1" applyProtection="1">
      <alignment vertical="center"/>
      <protection hidden="1"/>
    </xf>
    <xf numFmtId="0" fontId="46" fillId="28" borderId="18" xfId="0" applyFont="1" applyFill="1" applyBorder="1" applyAlignment="1" applyProtection="1">
      <alignment vertical="center"/>
      <protection hidden="1"/>
    </xf>
    <xf numFmtId="0" fontId="30" fillId="28" borderId="18" xfId="0" applyFont="1" applyFill="1" applyBorder="1" applyAlignment="1" applyProtection="1">
      <alignment vertical="center"/>
      <protection hidden="1"/>
    </xf>
    <xf numFmtId="0" fontId="30" fillId="13" borderId="14" xfId="0" applyFont="1" applyFill="1" applyBorder="1" applyAlignment="1" applyProtection="1">
      <alignment vertical="center"/>
      <protection hidden="1"/>
    </xf>
    <xf numFmtId="0" fontId="30" fillId="13" borderId="17" xfId="0" applyFont="1" applyFill="1" applyBorder="1" applyAlignment="1" applyProtection="1">
      <alignment vertical="center"/>
      <protection hidden="1"/>
    </xf>
    <xf numFmtId="0" fontId="46" fillId="13" borderId="18" xfId="0" applyFont="1" applyFill="1" applyBorder="1" applyAlignment="1" applyProtection="1">
      <alignment vertical="center"/>
      <protection hidden="1"/>
    </xf>
    <xf numFmtId="0" fontId="30" fillId="13" borderId="18" xfId="0" applyFont="1" applyFill="1" applyBorder="1" applyAlignment="1" applyProtection="1">
      <alignment vertical="center"/>
      <protection hidden="1"/>
    </xf>
    <xf numFmtId="0" fontId="30" fillId="24" borderId="14" xfId="0" applyFont="1" applyFill="1" applyBorder="1" applyAlignment="1" applyProtection="1">
      <alignment vertical="center"/>
      <protection hidden="1"/>
    </xf>
    <xf numFmtId="0" fontId="30" fillId="24" borderId="17" xfId="0" applyFont="1" applyFill="1" applyBorder="1" applyAlignment="1" applyProtection="1">
      <alignment vertical="center"/>
      <protection hidden="1"/>
    </xf>
    <xf numFmtId="0" fontId="46" fillId="24" borderId="18" xfId="0" applyFont="1" applyFill="1" applyBorder="1" applyAlignment="1" applyProtection="1">
      <alignment vertical="center"/>
      <protection hidden="1"/>
    </xf>
    <xf numFmtId="0" fontId="30" fillId="24" borderId="18" xfId="0" applyFont="1" applyFill="1" applyBorder="1" applyAlignment="1" applyProtection="1">
      <alignment vertical="center"/>
      <protection hidden="1"/>
    </xf>
    <xf numFmtId="0" fontId="30" fillId="25" borderId="14" xfId="0" applyFont="1" applyFill="1" applyBorder="1" applyAlignment="1" applyProtection="1">
      <alignment vertical="center"/>
      <protection hidden="1"/>
    </xf>
    <xf numFmtId="0" fontId="30" fillId="25" borderId="17" xfId="0" applyFont="1" applyFill="1" applyBorder="1" applyAlignment="1" applyProtection="1">
      <alignment vertical="center"/>
      <protection hidden="1"/>
    </xf>
    <xf numFmtId="0" fontId="46" fillId="25" borderId="18" xfId="0" applyFont="1" applyFill="1" applyBorder="1" applyAlignment="1" applyProtection="1">
      <alignment vertical="center"/>
      <protection hidden="1"/>
    </xf>
    <xf numFmtId="0" fontId="30" fillId="25" borderId="18" xfId="0" applyFont="1" applyFill="1" applyBorder="1" applyAlignment="1" applyProtection="1">
      <alignment vertical="center"/>
      <protection hidden="1"/>
    </xf>
    <xf numFmtId="0" fontId="25" fillId="26" borderId="15" xfId="0" applyFont="1" applyFill="1" applyBorder="1" applyAlignment="1" applyProtection="1">
      <alignment vertical="center"/>
      <protection hidden="1"/>
    </xf>
    <xf numFmtId="0" fontId="25" fillId="26" borderId="16" xfId="0" applyFont="1" applyFill="1" applyBorder="1" applyAlignment="1" applyProtection="1">
      <alignment vertical="center"/>
      <protection hidden="1"/>
    </xf>
    <xf numFmtId="0" fontId="24" fillId="26" borderId="19" xfId="0" applyFont="1" applyFill="1" applyBorder="1" applyAlignment="1" applyProtection="1">
      <alignment vertical="center"/>
      <protection hidden="1"/>
    </xf>
    <xf numFmtId="0" fontId="46" fillId="25" borderId="15" xfId="0" applyFont="1" applyFill="1" applyBorder="1" applyAlignment="1" applyProtection="1">
      <alignment vertical="center"/>
      <protection hidden="1"/>
    </xf>
    <xf numFmtId="0" fontId="46" fillId="25" borderId="16" xfId="0" applyFont="1" applyFill="1" applyBorder="1" applyAlignment="1" applyProtection="1">
      <alignment vertical="center"/>
      <protection hidden="1"/>
    </xf>
    <xf numFmtId="0" fontId="30" fillId="25" borderId="19" xfId="0" applyFont="1" applyFill="1" applyBorder="1" applyAlignment="1" applyProtection="1">
      <alignment vertical="center"/>
      <protection hidden="1"/>
    </xf>
    <xf numFmtId="0" fontId="46" fillId="24" borderId="15" xfId="0" applyFont="1" applyFill="1" applyBorder="1" applyAlignment="1" applyProtection="1">
      <alignment vertical="center"/>
      <protection hidden="1"/>
    </xf>
    <xf numFmtId="0" fontId="46" fillId="24" borderId="16" xfId="0" applyFont="1" applyFill="1" applyBorder="1" applyAlignment="1" applyProtection="1">
      <alignment vertical="center"/>
      <protection hidden="1"/>
    </xf>
    <xf numFmtId="0" fontId="30" fillId="24" borderId="19" xfId="0" applyFont="1" applyFill="1" applyBorder="1" applyAlignment="1" applyProtection="1">
      <alignment vertical="center"/>
      <protection hidden="1"/>
    </xf>
    <xf numFmtId="0" fontId="46" fillId="13" borderId="15" xfId="0" applyFont="1" applyFill="1" applyBorder="1" applyAlignment="1" applyProtection="1">
      <alignment vertical="center"/>
      <protection hidden="1"/>
    </xf>
    <xf numFmtId="0" fontId="46" fillId="13" borderId="16" xfId="0" applyFont="1" applyFill="1" applyBorder="1" applyAlignment="1" applyProtection="1">
      <alignment vertical="center"/>
      <protection hidden="1"/>
    </xf>
    <xf numFmtId="0" fontId="30" fillId="13" borderId="19" xfId="0" applyFont="1" applyFill="1" applyBorder="1" applyAlignment="1" applyProtection="1">
      <alignment vertical="center"/>
      <protection hidden="1"/>
    </xf>
    <xf numFmtId="0" fontId="46" fillId="28" borderId="15" xfId="0" applyFont="1" applyFill="1" applyBorder="1" applyAlignment="1" applyProtection="1">
      <alignment vertical="center"/>
      <protection hidden="1"/>
    </xf>
    <xf numFmtId="0" fontId="22" fillId="18" borderId="14" xfId="0" applyFont="1" applyFill="1" applyBorder="1" applyAlignment="1" applyProtection="1">
      <alignment vertical="center"/>
      <protection hidden="1"/>
    </xf>
    <xf numFmtId="0" fontId="29" fillId="18" borderId="15" xfId="0" applyFont="1" applyFill="1" applyBorder="1" applyAlignment="1" applyProtection="1">
      <alignment vertical="center"/>
      <protection hidden="1"/>
    </xf>
    <xf numFmtId="0" fontId="22" fillId="18" borderId="17" xfId="0" applyFont="1" applyFill="1" applyBorder="1" applyAlignment="1" applyProtection="1">
      <alignment vertical="center"/>
      <protection hidden="1"/>
    </xf>
    <xf numFmtId="0" fontId="29" fillId="18" borderId="18" xfId="0" applyFont="1" applyFill="1" applyBorder="1" applyAlignment="1" applyProtection="1">
      <alignment vertical="center"/>
      <protection hidden="1"/>
    </xf>
    <xf numFmtId="0" fontId="22" fillId="18" borderId="18" xfId="0" applyFont="1" applyFill="1" applyBorder="1" applyAlignment="1" applyProtection="1">
      <alignment vertical="center"/>
      <protection hidden="1"/>
    </xf>
    <xf numFmtId="0" fontId="24" fillId="23" borderId="14" xfId="0" applyFont="1" applyFill="1" applyBorder="1" applyAlignment="1">
      <alignment vertical="center"/>
    </xf>
    <xf numFmtId="0" fontId="25" fillId="23" borderId="15" xfId="0" applyFont="1" applyFill="1" applyBorder="1" applyAlignment="1">
      <alignment vertical="center"/>
    </xf>
    <xf numFmtId="0" fontId="25" fillId="23" borderId="16" xfId="0" applyFont="1" applyFill="1" applyBorder="1" applyAlignment="1">
      <alignment vertical="center"/>
    </xf>
    <xf numFmtId="0" fontId="24" fillId="23" borderId="17" xfId="0" applyFont="1" applyFill="1" applyBorder="1" applyAlignment="1">
      <alignment vertical="center"/>
    </xf>
    <xf numFmtId="0" fontId="25" fillId="23" borderId="18" xfId="0" applyFont="1" applyFill="1" applyBorder="1" applyAlignment="1">
      <alignment vertical="center"/>
    </xf>
    <xf numFmtId="0" fontId="24" fillId="23" borderId="18" xfId="0" applyFont="1" applyFill="1" applyBorder="1" applyAlignment="1">
      <alignment vertical="center"/>
    </xf>
    <xf numFmtId="0" fontId="24" fillId="23" borderId="19" xfId="0" applyFont="1" applyFill="1" applyBorder="1" applyAlignment="1">
      <alignment vertical="center"/>
    </xf>
    <xf numFmtId="173" fontId="25" fillId="27" borderId="18" xfId="0" applyNumberFormat="1" applyFont="1" applyFill="1" applyBorder="1" applyAlignment="1" applyProtection="1">
      <alignment vertical="center"/>
      <protection hidden="1"/>
    </xf>
    <xf numFmtId="0" fontId="30" fillId="40" borderId="14" xfId="0" applyFont="1" applyFill="1" applyBorder="1" applyAlignment="1" applyProtection="1">
      <alignment vertical="center"/>
      <protection hidden="1"/>
    </xf>
    <xf numFmtId="0" fontId="46" fillId="40" borderId="15" xfId="0" applyFont="1" applyFill="1" applyBorder="1" applyAlignment="1" applyProtection="1">
      <alignment vertical="center"/>
      <protection hidden="1"/>
    </xf>
    <xf numFmtId="0" fontId="30" fillId="40" borderId="17" xfId="0" applyFont="1" applyFill="1" applyBorder="1" applyAlignment="1" applyProtection="1">
      <alignment vertical="center"/>
      <protection hidden="1"/>
    </xf>
    <xf numFmtId="0" fontId="46" fillId="40" borderId="18" xfId="0" applyFont="1" applyFill="1" applyBorder="1" applyAlignment="1" applyProtection="1">
      <alignment vertical="center"/>
      <protection hidden="1"/>
    </xf>
    <xf numFmtId="0" fontId="30" fillId="40" borderId="18" xfId="0" applyFont="1" applyFill="1" applyBorder="1" applyAlignment="1" applyProtection="1">
      <alignment vertical="center"/>
      <protection hidden="1"/>
    </xf>
    <xf numFmtId="0" fontId="22" fillId="0" borderId="0" xfId="0" applyFont="1" applyFill="1" applyBorder="1" applyAlignment="1" applyProtection="1">
      <alignment horizontal="center" vertical="center"/>
      <protection hidden="1"/>
    </xf>
    <xf numFmtId="9" fontId="29" fillId="0" borderId="0" xfId="1" applyFont="1" applyFill="1" applyBorder="1" applyAlignment="1" applyProtection="1">
      <alignment horizontal="center" vertical="center"/>
      <protection hidden="1"/>
    </xf>
    <xf numFmtId="9" fontId="29" fillId="0" borderId="21" xfId="1" applyFont="1" applyFill="1" applyBorder="1" applyAlignment="1" applyProtection="1">
      <alignment horizontal="center" vertical="center"/>
      <protection hidden="1"/>
    </xf>
    <xf numFmtId="165" fontId="25" fillId="0" borderId="0" xfId="1" applyNumberFormat="1" applyFont="1" applyFill="1" applyBorder="1" applyAlignment="1" applyProtection="1">
      <alignment horizontal="center" vertical="center"/>
      <protection hidden="1"/>
    </xf>
    <xf numFmtId="165" fontId="26" fillId="0" borderId="21" xfId="1" applyNumberFormat="1" applyFont="1" applyFill="1" applyBorder="1" applyAlignment="1" applyProtection="1">
      <alignment horizontal="center" vertical="center"/>
      <protection hidden="1"/>
    </xf>
    <xf numFmtId="171" fontId="33" fillId="0" borderId="0" xfId="7" applyNumberFormat="1" applyFont="1" applyFill="1" applyBorder="1" applyAlignment="1" applyProtection="1">
      <alignment horizontal="center" vertical="center"/>
      <protection hidden="1"/>
    </xf>
    <xf numFmtId="171" fontId="35" fillId="0" borderId="0" xfId="7" applyNumberFormat="1" applyFont="1" applyFill="1" applyBorder="1" applyAlignment="1" applyProtection="1">
      <alignment horizontal="center" vertical="center"/>
      <protection hidden="1"/>
    </xf>
    <xf numFmtId="171" fontId="33" fillId="0" borderId="21" xfId="7" applyNumberFormat="1" applyFont="1" applyFill="1" applyBorder="1" applyAlignment="1" applyProtection="1">
      <alignment horizontal="center" vertical="center"/>
      <protection hidden="1"/>
    </xf>
    <xf numFmtId="165" fontId="26" fillId="0" borderId="20" xfId="1" applyNumberFormat="1" applyFont="1" applyFill="1" applyBorder="1" applyAlignment="1" applyProtection="1">
      <alignment horizontal="center" vertical="center"/>
      <protection hidden="1"/>
    </xf>
    <xf numFmtId="0" fontId="24" fillId="0" borderId="0" xfId="0" applyFont="1" applyFill="1" applyBorder="1" applyAlignment="1" applyProtection="1">
      <alignment horizontal="center" vertical="center"/>
      <protection hidden="1"/>
    </xf>
    <xf numFmtId="165" fontId="25" fillId="0" borderId="21" xfId="1" applyNumberFormat="1" applyFont="1" applyFill="1" applyBorder="1" applyAlignment="1" applyProtection="1">
      <alignment horizontal="center" vertical="center"/>
      <protection hidden="1"/>
    </xf>
    <xf numFmtId="0" fontId="22" fillId="0" borderId="15" xfId="0" applyFont="1" applyFill="1" applyBorder="1" applyAlignment="1" applyProtection="1">
      <alignment vertical="center" wrapText="1"/>
      <protection hidden="1"/>
    </xf>
    <xf numFmtId="0" fontId="22" fillId="0" borderId="16" xfId="0" applyFont="1" applyFill="1" applyBorder="1" applyAlignment="1" applyProtection="1">
      <alignment vertical="center" wrapText="1"/>
      <protection hidden="1"/>
    </xf>
    <xf numFmtId="0" fontId="22" fillId="0" borderId="14" xfId="0" applyFont="1" applyFill="1" applyBorder="1" applyAlignment="1" applyProtection="1">
      <alignment vertical="center" wrapText="1"/>
      <protection hidden="1"/>
    </xf>
    <xf numFmtId="0" fontId="22" fillId="0" borderId="21" xfId="0" applyFont="1" applyFill="1" applyBorder="1" applyAlignment="1" applyProtection="1">
      <alignment vertical="center"/>
      <protection hidden="1"/>
    </xf>
    <xf numFmtId="0" fontId="29" fillId="0" borderId="0" xfId="0" applyFont="1" applyFill="1" applyBorder="1" applyAlignment="1" applyProtection="1">
      <alignment vertical="center"/>
      <protection hidden="1"/>
    </xf>
    <xf numFmtId="0" fontId="22" fillId="0" borderId="21" xfId="0" applyFont="1" applyFill="1" applyBorder="1" applyAlignment="1" applyProtection="1">
      <alignment horizontal="center" vertical="center"/>
      <protection hidden="1"/>
    </xf>
    <xf numFmtId="165" fontId="29" fillId="0" borderId="0" xfId="1" applyNumberFormat="1" applyFont="1" applyFill="1" applyBorder="1" applyAlignment="1" applyProtection="1">
      <alignment horizontal="center" vertical="center"/>
      <protection hidden="1"/>
    </xf>
    <xf numFmtId="165" fontId="29" fillId="0" borderId="21" xfId="1" applyNumberFormat="1" applyFont="1" applyFill="1" applyBorder="1" applyAlignment="1" applyProtection="1">
      <alignment horizontal="center" vertical="center"/>
      <protection hidden="1"/>
    </xf>
    <xf numFmtId="0" fontId="29" fillId="0" borderId="21" xfId="0" applyFont="1" applyFill="1" applyBorder="1" applyAlignment="1" applyProtection="1">
      <alignment vertical="center"/>
      <protection hidden="1"/>
    </xf>
    <xf numFmtId="0" fontId="22" fillId="0" borderId="18" xfId="0" applyFont="1" applyFill="1" applyBorder="1" applyAlignment="1" applyProtection="1">
      <alignment vertical="center" wrapText="1"/>
      <protection hidden="1"/>
    </xf>
    <xf numFmtId="0" fontId="24" fillId="0" borderId="14" xfId="0" applyFont="1" applyFill="1" applyBorder="1" applyAlignment="1" applyProtection="1">
      <alignment vertical="center"/>
      <protection hidden="1"/>
    </xf>
    <xf numFmtId="0" fontId="24" fillId="0" borderId="15" xfId="0" applyFont="1" applyFill="1" applyBorder="1" applyAlignment="1" applyProtection="1">
      <alignment vertical="center"/>
      <protection hidden="1"/>
    </xf>
    <xf numFmtId="1" fontId="27" fillId="0" borderId="20" xfId="1" applyNumberFormat="1" applyFont="1" applyFill="1" applyBorder="1" applyAlignment="1" applyProtection="1">
      <alignment horizontal="right" vertical="center"/>
      <protection hidden="1"/>
    </xf>
    <xf numFmtId="1" fontId="24" fillId="0" borderId="0" xfId="0" applyNumberFormat="1" applyFont="1" applyFill="1" applyBorder="1" applyAlignment="1" applyProtection="1">
      <alignment horizontal="center" vertical="center"/>
      <protection hidden="1"/>
    </xf>
    <xf numFmtId="1" fontId="24" fillId="0" borderId="0" xfId="1" applyNumberFormat="1" applyFont="1" applyFill="1" applyBorder="1" applyAlignment="1" applyProtection="1">
      <alignment horizontal="center" vertical="center"/>
      <protection hidden="1"/>
    </xf>
    <xf numFmtId="1" fontId="24" fillId="0" borderId="21" xfId="1" applyNumberFormat="1" applyFont="1" applyFill="1" applyBorder="1" applyAlignment="1" applyProtection="1">
      <alignment horizontal="center" vertical="center"/>
      <protection hidden="1"/>
    </xf>
    <xf numFmtId="1" fontId="24" fillId="0" borderId="20" xfId="1" applyNumberFormat="1" applyFont="1" applyFill="1" applyBorder="1" applyAlignment="1" applyProtection="1">
      <alignment horizontal="center" vertical="center"/>
      <protection hidden="1"/>
    </xf>
    <xf numFmtId="171" fontId="35" fillId="0" borderId="0" xfId="7" applyNumberFormat="1" applyFont="1" applyFill="1" applyBorder="1" applyAlignment="1" applyProtection="1">
      <alignment vertical="center"/>
      <protection hidden="1"/>
    </xf>
    <xf numFmtId="171" fontId="35" fillId="0" borderId="21" xfId="7" applyNumberFormat="1" applyFont="1" applyFill="1" applyBorder="1" applyAlignment="1" applyProtection="1">
      <alignment vertical="center"/>
      <protection hidden="1"/>
    </xf>
    <xf numFmtId="1" fontId="22" fillId="0" borderId="20" xfId="1" applyNumberFormat="1" applyFont="1" applyFill="1" applyBorder="1" applyAlignment="1" applyProtection="1">
      <alignment vertical="center"/>
      <protection hidden="1"/>
    </xf>
    <xf numFmtId="1" fontId="22" fillId="0" borderId="0" xfId="1" applyNumberFormat="1" applyFont="1" applyFill="1" applyBorder="1" applyAlignment="1" applyProtection="1">
      <alignment vertical="center"/>
      <protection hidden="1"/>
    </xf>
    <xf numFmtId="1" fontId="27" fillId="0" borderId="17" xfId="1" applyNumberFormat="1" applyFont="1" applyFill="1" applyBorder="1" applyAlignment="1" applyProtection="1">
      <alignment vertical="center"/>
      <protection hidden="1"/>
    </xf>
    <xf numFmtId="1" fontId="27" fillId="0" borderId="18" xfId="1" applyNumberFormat="1" applyFont="1" applyFill="1" applyBorder="1" applyAlignment="1" applyProtection="1">
      <alignment vertical="center"/>
      <protection hidden="1"/>
    </xf>
    <xf numFmtId="165" fontId="26" fillId="0" borderId="18" xfId="1" applyNumberFormat="1" applyFont="1" applyFill="1" applyBorder="1" applyAlignment="1" applyProtection="1">
      <alignment horizontal="center" vertical="center"/>
      <protection hidden="1"/>
    </xf>
    <xf numFmtId="165" fontId="26" fillId="0" borderId="19" xfId="1" applyNumberFormat="1" applyFont="1" applyFill="1" applyBorder="1" applyAlignment="1" applyProtection="1">
      <alignment horizontal="center" vertical="center"/>
      <protection hidden="1"/>
    </xf>
    <xf numFmtId="165" fontId="26" fillId="0" borderId="17" xfId="1" applyNumberFormat="1" applyFont="1" applyFill="1" applyBorder="1" applyAlignment="1" applyProtection="1">
      <alignment horizontal="center" vertical="center"/>
      <protection hidden="1"/>
    </xf>
    <xf numFmtId="0" fontId="30" fillId="41" borderId="14" xfId="0" applyFont="1" applyFill="1" applyBorder="1" applyAlignment="1" applyProtection="1">
      <alignment vertical="center"/>
      <protection hidden="1"/>
    </xf>
    <xf numFmtId="0" fontId="46" fillId="41" borderId="15" xfId="0" applyFont="1" applyFill="1" applyBorder="1" applyAlignment="1" applyProtection="1">
      <alignment vertical="center"/>
      <protection hidden="1"/>
    </xf>
    <xf numFmtId="0" fontId="30" fillId="41" borderId="17" xfId="0" applyFont="1" applyFill="1" applyBorder="1" applyAlignment="1" applyProtection="1">
      <alignment vertical="center"/>
      <protection hidden="1"/>
    </xf>
    <xf numFmtId="0" fontId="46" fillId="41" borderId="18" xfId="0" applyFont="1" applyFill="1" applyBorder="1" applyAlignment="1" applyProtection="1">
      <alignment vertical="center"/>
      <protection hidden="1"/>
    </xf>
    <xf numFmtId="0" fontId="30" fillId="41" borderId="18" xfId="0" applyFont="1" applyFill="1" applyBorder="1" applyAlignment="1" applyProtection="1">
      <alignment vertical="center"/>
      <protection hidden="1"/>
    </xf>
    <xf numFmtId="171" fontId="33" fillId="0" borderId="21" xfId="7" applyNumberFormat="1" applyFont="1" applyFill="1" applyBorder="1" applyAlignment="1" applyProtection="1">
      <alignment vertical="center"/>
      <protection hidden="1"/>
    </xf>
    <xf numFmtId="1" fontId="22" fillId="0" borderId="17" xfId="1" applyNumberFormat="1" applyFont="1" applyFill="1" applyBorder="1" applyAlignment="1" applyProtection="1">
      <alignment vertical="center"/>
      <protection hidden="1"/>
    </xf>
    <xf numFmtId="1" fontId="22" fillId="0" borderId="18" xfId="1" applyNumberFormat="1" applyFont="1" applyFill="1" applyBorder="1" applyAlignment="1" applyProtection="1">
      <alignment vertical="center"/>
      <protection hidden="1"/>
    </xf>
    <xf numFmtId="165" fontId="29" fillId="0" borderId="18" xfId="1" applyNumberFormat="1" applyFont="1" applyFill="1" applyBorder="1" applyAlignment="1" applyProtection="1">
      <alignment horizontal="center" vertical="center"/>
      <protection hidden="1"/>
    </xf>
    <xf numFmtId="165" fontId="29" fillId="0" borderId="19" xfId="1" applyNumberFormat="1" applyFont="1" applyFill="1" applyBorder="1" applyAlignment="1" applyProtection="1">
      <alignment horizontal="center" vertical="center"/>
      <protection hidden="1"/>
    </xf>
    <xf numFmtId="165" fontId="29" fillId="0" borderId="17" xfId="1" applyNumberFormat="1" applyFont="1" applyFill="1" applyBorder="1" applyAlignment="1" applyProtection="1">
      <alignment horizontal="center" vertical="center"/>
      <protection hidden="1"/>
    </xf>
    <xf numFmtId="0" fontId="27" fillId="2" borderId="25" xfId="0" applyFont="1" applyFill="1" applyBorder="1" applyAlignment="1" applyProtection="1">
      <alignment horizontal="right" vertical="center"/>
      <protection hidden="1"/>
    </xf>
    <xf numFmtId="0" fontId="48" fillId="13" borderId="25" xfId="0" applyFont="1" applyFill="1" applyBorder="1" applyAlignment="1" applyProtection="1">
      <alignment horizontal="center" vertical="center" wrapText="1"/>
      <protection hidden="1"/>
    </xf>
    <xf numFmtId="0" fontId="48" fillId="25" borderId="25" xfId="0" applyFont="1" applyFill="1" applyBorder="1" applyAlignment="1" applyProtection="1">
      <alignment horizontal="center" vertical="center" wrapText="1"/>
      <protection hidden="1"/>
    </xf>
    <xf numFmtId="0" fontId="48" fillId="24" borderId="25" xfId="0" applyFont="1" applyFill="1" applyBorder="1" applyAlignment="1" applyProtection="1">
      <alignment horizontal="center" vertical="center" wrapText="1"/>
      <protection hidden="1"/>
    </xf>
    <xf numFmtId="0" fontId="48" fillId="29" borderId="25" xfId="0" applyFont="1" applyFill="1" applyBorder="1" applyAlignment="1" applyProtection="1">
      <alignment horizontal="center" vertical="center" wrapText="1"/>
      <protection hidden="1"/>
    </xf>
    <xf numFmtId="0" fontId="25" fillId="11" borderId="25" xfId="0" applyFont="1" applyFill="1" applyBorder="1" applyAlignment="1" applyProtection="1">
      <alignment vertical="center"/>
      <protection hidden="1"/>
    </xf>
    <xf numFmtId="172" fontId="25" fillId="11" borderId="25" xfId="0" applyNumberFormat="1" applyFont="1" applyFill="1" applyBorder="1" applyAlignment="1" applyProtection="1">
      <alignment vertical="center"/>
      <protection hidden="1"/>
    </xf>
    <xf numFmtId="3" fontId="25" fillId="11" borderId="25" xfId="0" applyNumberFormat="1" applyFont="1" applyFill="1" applyBorder="1" applyAlignment="1" applyProtection="1">
      <alignment vertical="center"/>
      <protection hidden="1"/>
    </xf>
    <xf numFmtId="0" fontId="25" fillId="17" borderId="25" xfId="0" applyFont="1" applyFill="1" applyBorder="1" applyAlignment="1" applyProtection="1">
      <alignment vertical="center"/>
      <protection hidden="1"/>
    </xf>
    <xf numFmtId="172" fontId="25" fillId="17" borderId="25" xfId="0" applyNumberFormat="1" applyFont="1" applyFill="1" applyBorder="1" applyAlignment="1" applyProtection="1">
      <alignment vertical="center"/>
      <protection hidden="1"/>
    </xf>
    <xf numFmtId="3" fontId="25" fillId="17" borderId="25" xfId="0" applyNumberFormat="1" applyFont="1" applyFill="1" applyBorder="1" applyAlignment="1" applyProtection="1">
      <alignment vertical="center"/>
      <protection hidden="1"/>
    </xf>
    <xf numFmtId="0" fontId="25" fillId="16" borderId="25" xfId="0" applyFont="1" applyFill="1" applyBorder="1" applyAlignment="1" applyProtection="1">
      <alignment vertical="center"/>
      <protection hidden="1"/>
    </xf>
    <xf numFmtId="172" fontId="25" fillId="16" borderId="25" xfId="0" applyNumberFormat="1" applyFont="1" applyFill="1" applyBorder="1" applyAlignment="1" applyProtection="1">
      <alignment vertical="center"/>
      <protection hidden="1"/>
    </xf>
    <xf numFmtId="3" fontId="25" fillId="16" borderId="25" xfId="0" applyNumberFormat="1" applyFont="1" applyFill="1" applyBorder="1" applyAlignment="1" applyProtection="1">
      <alignment vertical="center"/>
      <protection hidden="1"/>
    </xf>
    <xf numFmtId="0" fontId="22" fillId="24" borderId="25" xfId="0" applyFont="1" applyFill="1" applyBorder="1" applyAlignment="1" applyProtection="1">
      <alignment vertical="center"/>
      <protection hidden="1"/>
    </xf>
    <xf numFmtId="172" fontId="22" fillId="24" borderId="25" xfId="0" applyNumberFormat="1" applyFont="1" applyFill="1" applyBorder="1" applyAlignment="1" applyProtection="1">
      <alignment vertical="center"/>
      <protection hidden="1"/>
    </xf>
    <xf numFmtId="3" fontId="22" fillId="24" borderId="25" xfId="0" applyNumberFormat="1" applyFont="1" applyFill="1" applyBorder="1" applyAlignment="1" applyProtection="1">
      <alignment vertical="center"/>
      <protection hidden="1"/>
    </xf>
    <xf numFmtId="0" fontId="25" fillId="9" borderId="25" xfId="0" applyFont="1" applyFill="1" applyBorder="1" applyAlignment="1" applyProtection="1">
      <alignment vertical="center"/>
      <protection hidden="1"/>
    </xf>
    <xf numFmtId="172" fontId="25" fillId="9" borderId="25" xfId="0" applyNumberFormat="1" applyFont="1" applyFill="1" applyBorder="1" applyAlignment="1" applyProtection="1">
      <alignment vertical="center"/>
      <protection hidden="1"/>
    </xf>
    <xf numFmtId="3" fontId="25" fillId="9" borderId="25" xfId="0" applyNumberFormat="1" applyFont="1" applyFill="1" applyBorder="1" applyAlignment="1" applyProtection="1">
      <alignment vertical="center"/>
      <protection hidden="1"/>
    </xf>
    <xf numFmtId="0" fontId="22" fillId="8" borderId="25" xfId="0" applyFont="1" applyFill="1" applyBorder="1" applyAlignment="1" applyProtection="1">
      <alignment vertical="center"/>
      <protection hidden="1"/>
    </xf>
    <xf numFmtId="172" fontId="29" fillId="8" borderId="25" xfId="0" applyNumberFormat="1" applyFont="1" applyFill="1" applyBorder="1" applyAlignment="1" applyProtection="1">
      <alignment vertical="center"/>
      <protection hidden="1"/>
    </xf>
    <xf numFmtId="3" fontId="29" fillId="8" borderId="25" xfId="0" applyNumberFormat="1" applyFont="1" applyFill="1" applyBorder="1" applyAlignment="1" applyProtection="1">
      <alignment vertical="center"/>
      <protection hidden="1"/>
    </xf>
    <xf numFmtId="2" fontId="24" fillId="30" borderId="0" xfId="0" applyNumberFormat="1" applyFont="1" applyFill="1" applyBorder="1" applyAlignment="1" applyProtection="1">
      <alignment horizontal="center" vertical="center"/>
      <protection hidden="1"/>
    </xf>
    <xf numFmtId="2" fontId="22" fillId="30" borderId="0" xfId="0" applyNumberFormat="1" applyFont="1" applyFill="1" applyBorder="1" applyAlignment="1" applyProtection="1">
      <alignment horizontal="center" vertical="center"/>
      <protection hidden="1"/>
    </xf>
    <xf numFmtId="0" fontId="22" fillId="30" borderId="0" xfId="0" applyFont="1" applyFill="1" applyBorder="1" applyAlignment="1" applyProtection="1">
      <alignment horizontal="center" vertical="center"/>
      <protection hidden="1"/>
    </xf>
    <xf numFmtId="4" fontId="27" fillId="0" borderId="0" xfId="0" applyNumberFormat="1" applyFont="1" applyFill="1" applyBorder="1" applyAlignment="1" applyProtection="1">
      <alignment vertical="center"/>
      <protection hidden="1"/>
    </xf>
    <xf numFmtId="4" fontId="27" fillId="0" borderId="0" xfId="0" applyNumberFormat="1" applyFont="1" applyFill="1" applyBorder="1" applyAlignment="1" applyProtection="1">
      <alignment horizontal="center" vertical="center"/>
      <protection hidden="1"/>
    </xf>
    <xf numFmtId="4" fontId="27" fillId="0" borderId="0" xfId="1" applyNumberFormat="1" applyFont="1" applyFill="1" applyBorder="1" applyAlignment="1" applyProtection="1">
      <alignment horizontal="center" vertical="center"/>
      <protection hidden="1"/>
    </xf>
    <xf numFmtId="4" fontId="27" fillId="0" borderId="21" xfId="1" applyNumberFormat="1" applyFont="1" applyFill="1" applyBorder="1" applyAlignment="1" applyProtection="1">
      <alignment horizontal="center" vertical="center"/>
      <protection hidden="1"/>
    </xf>
    <xf numFmtId="1" fontId="27" fillId="0" borderId="20" xfId="1" applyNumberFormat="1" applyFont="1" applyFill="1" applyBorder="1" applyAlignment="1" applyProtection="1">
      <alignment vertical="center"/>
      <protection hidden="1"/>
    </xf>
    <xf numFmtId="4" fontId="27" fillId="0" borderId="0" xfId="1" applyNumberFormat="1" applyFont="1" applyFill="1" applyBorder="1" applyAlignment="1" applyProtection="1">
      <alignment vertical="center"/>
      <protection hidden="1"/>
    </xf>
    <xf numFmtId="4" fontId="26" fillId="0" borderId="0" xfId="1" applyNumberFormat="1" applyFont="1" applyFill="1" applyBorder="1" applyAlignment="1" applyProtection="1">
      <alignment horizontal="center" vertical="center"/>
      <protection hidden="1"/>
    </xf>
    <xf numFmtId="4" fontId="26" fillId="0" borderId="21" xfId="1" applyNumberFormat="1" applyFont="1" applyFill="1" applyBorder="1" applyAlignment="1" applyProtection="1">
      <alignment horizontal="center" vertical="center"/>
      <protection hidden="1"/>
    </xf>
    <xf numFmtId="173" fontId="22" fillId="0" borderId="14" xfId="0" applyNumberFormat="1" applyFont="1" applyFill="1" applyBorder="1" applyAlignment="1" applyProtection="1">
      <alignment horizontal="left" vertical="center" wrapText="1"/>
      <protection hidden="1"/>
    </xf>
    <xf numFmtId="173" fontId="22" fillId="0" borderId="15" xfId="0" applyNumberFormat="1" applyFont="1" applyFill="1" applyBorder="1" applyAlignment="1" applyProtection="1">
      <alignment vertical="center" wrapText="1"/>
      <protection hidden="1"/>
    </xf>
    <xf numFmtId="173" fontId="22" fillId="0" borderId="15" xfId="0" applyNumberFormat="1" applyFont="1" applyFill="1" applyBorder="1" applyAlignment="1" applyProtection="1">
      <alignment horizontal="center" vertical="center" wrapText="1"/>
      <protection hidden="1"/>
    </xf>
    <xf numFmtId="173" fontId="22" fillId="0" borderId="16" xfId="0" applyNumberFormat="1" applyFont="1" applyFill="1" applyBorder="1" applyAlignment="1" applyProtection="1">
      <alignment vertical="center" wrapText="1"/>
      <protection hidden="1"/>
    </xf>
    <xf numFmtId="173" fontId="22" fillId="0" borderId="14" xfId="0" applyNumberFormat="1" applyFont="1" applyFill="1" applyBorder="1" applyAlignment="1" applyProtection="1">
      <alignment vertical="center" wrapText="1"/>
      <protection hidden="1"/>
    </xf>
    <xf numFmtId="173" fontId="22" fillId="0" borderId="20" xfId="0" applyNumberFormat="1" applyFont="1" applyFill="1" applyBorder="1" applyAlignment="1" applyProtection="1">
      <alignment horizontal="left" vertical="center"/>
      <protection hidden="1"/>
    </xf>
    <xf numFmtId="173" fontId="22" fillId="0" borderId="0" xfId="0" applyNumberFormat="1" applyFont="1" applyFill="1" applyBorder="1" applyAlignment="1" applyProtection="1">
      <alignment vertical="center"/>
      <protection hidden="1"/>
    </xf>
    <xf numFmtId="173" fontId="47" fillId="0" borderId="0" xfId="0" applyNumberFormat="1" applyFont="1" applyFill="1" applyBorder="1" applyAlignment="1" applyProtection="1">
      <alignment vertical="center"/>
      <protection hidden="1"/>
    </xf>
    <xf numFmtId="173" fontId="22" fillId="0" borderId="21" xfId="0" applyNumberFormat="1" applyFont="1" applyFill="1" applyBorder="1" applyAlignment="1" applyProtection="1">
      <alignment vertical="center"/>
      <protection hidden="1"/>
    </xf>
    <xf numFmtId="173" fontId="22" fillId="0" borderId="20" xfId="0" applyNumberFormat="1" applyFont="1" applyFill="1" applyBorder="1" applyAlignment="1" applyProtection="1">
      <alignment vertical="center"/>
      <protection hidden="1"/>
    </xf>
    <xf numFmtId="173" fontId="22" fillId="0" borderId="0" xfId="0" applyNumberFormat="1" applyFont="1" applyFill="1" applyBorder="1" applyAlignment="1" applyProtection="1">
      <alignment vertical="center" wrapText="1"/>
      <protection hidden="1"/>
    </xf>
    <xf numFmtId="173" fontId="22" fillId="0" borderId="21" xfId="0" applyNumberFormat="1" applyFont="1" applyFill="1" applyBorder="1" applyAlignment="1" applyProtection="1">
      <alignment vertical="center" wrapText="1"/>
      <protection hidden="1"/>
    </xf>
    <xf numFmtId="173" fontId="22" fillId="0" borderId="20" xfId="0" applyNumberFormat="1" applyFont="1" applyFill="1" applyBorder="1" applyAlignment="1" applyProtection="1">
      <alignment vertical="center" wrapText="1"/>
      <protection hidden="1"/>
    </xf>
    <xf numFmtId="173" fontId="29" fillId="0" borderId="20" xfId="0" applyNumberFormat="1" applyFont="1" applyFill="1" applyBorder="1" applyAlignment="1" applyProtection="1">
      <alignment horizontal="left" vertical="center"/>
      <protection hidden="1"/>
    </xf>
    <xf numFmtId="173" fontId="29" fillId="0" borderId="0" xfId="0" applyNumberFormat="1" applyFont="1" applyFill="1" applyBorder="1" applyAlignment="1" applyProtection="1">
      <alignment vertical="center"/>
      <protection hidden="1"/>
    </xf>
    <xf numFmtId="173" fontId="22" fillId="0" borderId="0" xfId="0" applyNumberFormat="1" applyFont="1" applyFill="1" applyBorder="1" applyAlignment="1" applyProtection="1">
      <alignment horizontal="center" vertical="center"/>
      <protection hidden="1"/>
    </xf>
    <xf numFmtId="173" fontId="22" fillId="0" borderId="21" xfId="0" applyNumberFormat="1" applyFont="1" applyFill="1" applyBorder="1" applyAlignment="1" applyProtection="1">
      <alignment horizontal="center" vertical="center"/>
      <protection hidden="1"/>
    </xf>
    <xf numFmtId="173" fontId="22" fillId="0" borderId="20" xfId="0" applyNumberFormat="1" applyFont="1" applyFill="1" applyBorder="1" applyAlignment="1" applyProtection="1">
      <alignment horizontal="center" vertical="center"/>
      <protection hidden="1"/>
    </xf>
    <xf numFmtId="173" fontId="29" fillId="0" borderId="0" xfId="1" applyNumberFormat="1" applyFont="1" applyFill="1" applyBorder="1" applyAlignment="1" applyProtection="1">
      <alignment horizontal="center" vertical="center"/>
      <protection hidden="1"/>
    </xf>
    <xf numFmtId="173" fontId="29" fillId="0" borderId="21" xfId="1" applyNumberFormat="1" applyFont="1" applyFill="1" applyBorder="1" applyAlignment="1" applyProtection="1">
      <alignment horizontal="center" vertical="center"/>
      <protection hidden="1"/>
    </xf>
    <xf numFmtId="173" fontId="29" fillId="0" borderId="20" xfId="1" applyNumberFormat="1" applyFont="1" applyFill="1" applyBorder="1" applyAlignment="1" applyProtection="1">
      <alignment horizontal="center" vertical="center"/>
      <protection hidden="1"/>
    </xf>
    <xf numFmtId="173" fontId="22" fillId="0" borderId="0" xfId="0" quotePrefix="1" applyNumberFormat="1" applyFont="1" applyFill="1" applyBorder="1" applyAlignment="1" applyProtection="1">
      <alignment vertical="center" textRotation="90" wrapText="1"/>
      <protection hidden="1"/>
    </xf>
    <xf numFmtId="173" fontId="22" fillId="0" borderId="20" xfId="1" applyNumberFormat="1" applyFont="1" applyFill="1" applyBorder="1" applyAlignment="1" applyProtection="1">
      <alignment horizontal="left" vertical="center"/>
      <protection hidden="1"/>
    </xf>
    <xf numFmtId="173" fontId="22" fillId="0" borderId="17" xfId="0" applyNumberFormat="1" applyFont="1" applyFill="1" applyBorder="1" applyAlignment="1" applyProtection="1">
      <alignment horizontal="left" vertical="center" wrapText="1"/>
      <protection hidden="1"/>
    </xf>
    <xf numFmtId="173" fontId="22" fillId="0" borderId="18" xfId="0" applyNumberFormat="1" applyFont="1" applyFill="1" applyBorder="1" applyAlignment="1" applyProtection="1">
      <alignment vertical="center" wrapText="1"/>
      <protection hidden="1"/>
    </xf>
    <xf numFmtId="173" fontId="22" fillId="0" borderId="19" xfId="0" applyNumberFormat="1" applyFont="1" applyFill="1" applyBorder="1" applyAlignment="1" applyProtection="1">
      <alignment vertical="center" wrapText="1"/>
      <protection hidden="1"/>
    </xf>
    <xf numFmtId="173" fontId="22" fillId="0" borderId="17" xfId="0" applyNumberFormat="1" applyFont="1" applyFill="1" applyBorder="1" applyAlignment="1" applyProtection="1">
      <alignment vertical="center" wrapText="1"/>
      <protection hidden="1"/>
    </xf>
    <xf numFmtId="173" fontId="47" fillId="0" borderId="0" xfId="1" applyNumberFormat="1" applyFont="1" applyFill="1" applyBorder="1" applyAlignment="1" applyProtection="1">
      <alignment vertical="center"/>
      <protection hidden="1"/>
    </xf>
    <xf numFmtId="173" fontId="33" fillId="0" borderId="0" xfId="7" applyNumberFormat="1" applyFont="1" applyFill="1" applyBorder="1" applyAlignment="1" applyProtection="1">
      <alignment horizontal="center" vertical="center"/>
      <protection hidden="1"/>
    </xf>
    <xf numFmtId="173" fontId="33" fillId="0" borderId="21" xfId="7" applyNumberFormat="1" applyFont="1" applyFill="1" applyBorder="1" applyAlignment="1" applyProtection="1">
      <alignment horizontal="center" vertical="center"/>
      <protection hidden="1"/>
    </xf>
    <xf numFmtId="173" fontId="33" fillId="0" borderId="20" xfId="7" applyNumberFormat="1" applyFont="1" applyFill="1" applyBorder="1" applyAlignment="1" applyProtection="1">
      <alignment horizontal="center" vertical="center"/>
      <protection hidden="1"/>
    </xf>
    <xf numFmtId="173" fontId="29" fillId="0" borderId="21" xfId="0" applyNumberFormat="1" applyFont="1" applyFill="1" applyBorder="1" applyAlignment="1" applyProtection="1">
      <alignment vertical="center"/>
      <protection hidden="1"/>
    </xf>
    <xf numFmtId="173" fontId="29" fillId="0" borderId="20" xfId="0" applyNumberFormat="1" applyFont="1" applyFill="1" applyBorder="1" applyAlignment="1" applyProtection="1">
      <alignment vertical="center"/>
      <protection hidden="1"/>
    </xf>
    <xf numFmtId="3" fontId="19" fillId="0" borderId="0" xfId="11" applyFont="1" applyFill="1" applyProtection="1">
      <protection hidden="1"/>
    </xf>
    <xf numFmtId="3" fontId="7" fillId="0" borderId="0" xfId="11" applyFont="1" applyFill="1" applyProtection="1">
      <protection hidden="1"/>
    </xf>
    <xf numFmtId="3" fontId="38" fillId="0" borderId="2" xfId="11" applyFont="1" applyFill="1" applyBorder="1" applyAlignment="1" applyProtection="1">
      <alignment horizontal="center" vertical="center"/>
      <protection hidden="1"/>
    </xf>
    <xf numFmtId="3" fontId="39" fillId="0" borderId="0" xfId="11" applyFont="1" applyFill="1"/>
    <xf numFmtId="0" fontId="30" fillId="42" borderId="14" xfId="0" applyFont="1" applyFill="1" applyBorder="1" applyAlignment="1" applyProtection="1">
      <alignment vertical="center"/>
      <protection hidden="1"/>
    </xf>
    <xf numFmtId="0" fontId="46" fillId="42" borderId="15" xfId="0" applyFont="1" applyFill="1" applyBorder="1" applyAlignment="1" applyProtection="1">
      <alignment vertical="center"/>
      <protection hidden="1"/>
    </xf>
    <xf numFmtId="0" fontId="30" fillId="42" borderId="17" xfId="0" applyFont="1" applyFill="1" applyBorder="1" applyAlignment="1" applyProtection="1">
      <alignment vertical="center"/>
      <protection hidden="1"/>
    </xf>
    <xf numFmtId="0" fontId="46" fillId="42" borderId="18" xfId="0" applyFont="1" applyFill="1" applyBorder="1" applyAlignment="1" applyProtection="1">
      <alignment vertical="center"/>
      <protection hidden="1"/>
    </xf>
    <xf numFmtId="0" fontId="30" fillId="42" borderId="18" xfId="0" applyFont="1" applyFill="1" applyBorder="1" applyAlignment="1" applyProtection="1">
      <alignment vertical="center"/>
      <protection hidden="1"/>
    </xf>
    <xf numFmtId="0" fontId="24" fillId="0" borderId="11" xfId="0" applyFont="1" applyFill="1" applyBorder="1" applyAlignment="1" applyProtection="1">
      <alignment vertical="center" wrapText="1"/>
      <protection hidden="1"/>
    </xf>
    <xf numFmtId="0" fontId="24" fillId="0" borderId="12" xfId="0" applyFont="1" applyFill="1" applyBorder="1" applyAlignment="1" applyProtection="1">
      <alignment vertical="center" wrapText="1"/>
      <protection hidden="1"/>
    </xf>
    <xf numFmtId="0" fontId="24" fillId="0" borderId="13" xfId="0" applyFont="1" applyFill="1" applyBorder="1" applyAlignment="1" applyProtection="1">
      <alignment vertical="center" wrapText="1"/>
      <protection hidden="1"/>
    </xf>
    <xf numFmtId="171" fontId="35" fillId="0" borderId="15" xfId="7" applyNumberFormat="1" applyFont="1" applyFill="1" applyBorder="1" applyAlignment="1" applyProtection="1">
      <alignment vertical="center"/>
      <protection hidden="1"/>
    </xf>
    <xf numFmtId="171" fontId="35" fillId="0" borderId="16" xfId="7" applyNumberFormat="1" applyFont="1" applyFill="1" applyBorder="1" applyAlignment="1" applyProtection="1">
      <alignment vertical="center"/>
      <protection hidden="1"/>
    </xf>
    <xf numFmtId="171" fontId="35" fillId="0" borderId="18" xfId="7" applyNumberFormat="1" applyFont="1" applyFill="1" applyBorder="1" applyAlignment="1" applyProtection="1">
      <alignment vertical="center"/>
      <protection hidden="1"/>
    </xf>
    <xf numFmtId="171" fontId="35" fillId="0" borderId="19" xfId="7" applyNumberFormat="1" applyFont="1" applyFill="1" applyBorder="1" applyAlignment="1" applyProtection="1">
      <alignment vertical="center"/>
      <protection hidden="1"/>
    </xf>
    <xf numFmtId="0" fontId="27" fillId="0" borderId="11" xfId="0" applyFont="1" applyFill="1" applyBorder="1" applyAlignment="1" applyProtection="1">
      <alignment vertical="center"/>
      <protection hidden="1"/>
    </xf>
    <xf numFmtId="0" fontId="27" fillId="0" borderId="12" xfId="0" applyFont="1" applyFill="1" applyBorder="1" applyAlignment="1" applyProtection="1">
      <alignment vertical="center"/>
      <protection hidden="1"/>
    </xf>
    <xf numFmtId="0" fontId="27" fillId="0" borderId="13" xfId="0" applyFont="1" applyFill="1" applyBorder="1" applyAlignment="1" applyProtection="1">
      <alignment vertical="center"/>
      <protection hidden="1"/>
    </xf>
    <xf numFmtId="1" fontId="24" fillId="0" borderId="10" xfId="0" applyNumberFormat="1" applyFont="1" applyFill="1" applyBorder="1" applyAlignment="1" applyProtection="1">
      <alignment horizontal="center" vertical="center"/>
      <protection hidden="1"/>
    </xf>
    <xf numFmtId="1" fontId="24" fillId="0" borderId="22" xfId="1" applyNumberFormat="1" applyFont="1" applyFill="1" applyBorder="1" applyAlignment="1" applyProtection="1">
      <alignment horizontal="center" vertical="center"/>
      <protection hidden="1"/>
    </xf>
    <xf numFmtId="1" fontId="22" fillId="0" borderId="11" xfId="1" applyNumberFormat="1" applyFont="1" applyFill="1" applyBorder="1" applyAlignment="1" applyProtection="1">
      <alignment vertical="center"/>
      <protection hidden="1"/>
    </xf>
    <xf numFmtId="1" fontId="22" fillId="0" borderId="12" xfId="1" applyNumberFormat="1" applyFont="1" applyFill="1" applyBorder="1" applyAlignment="1" applyProtection="1">
      <alignment vertical="center"/>
      <protection hidden="1"/>
    </xf>
    <xf numFmtId="1" fontId="27" fillId="0" borderId="11" xfId="1" applyNumberFormat="1" applyFont="1" applyFill="1" applyBorder="1" applyAlignment="1" applyProtection="1">
      <alignment vertical="center"/>
      <protection hidden="1"/>
    </xf>
    <xf numFmtId="1" fontId="27" fillId="0" borderId="12" xfId="1" applyNumberFormat="1" applyFont="1" applyFill="1" applyBorder="1" applyAlignment="1" applyProtection="1">
      <alignment vertical="center"/>
      <protection hidden="1"/>
    </xf>
    <xf numFmtId="0" fontId="30" fillId="43" borderId="14" xfId="0" applyFont="1" applyFill="1" applyBorder="1" applyAlignment="1" applyProtection="1">
      <alignment vertical="center"/>
      <protection hidden="1"/>
    </xf>
    <xf numFmtId="0" fontId="46" fillId="43" borderId="15" xfId="0" applyFont="1" applyFill="1" applyBorder="1" applyAlignment="1" applyProtection="1">
      <alignment vertical="center"/>
      <protection hidden="1"/>
    </xf>
    <xf numFmtId="0" fontId="30" fillId="43" borderId="17" xfId="0" applyFont="1" applyFill="1" applyBorder="1" applyAlignment="1" applyProtection="1">
      <alignment vertical="center"/>
      <protection hidden="1"/>
    </xf>
    <xf numFmtId="0" fontId="46" fillId="43" borderId="18" xfId="0" applyFont="1" applyFill="1" applyBorder="1" applyAlignment="1" applyProtection="1">
      <alignment vertical="center"/>
      <protection hidden="1"/>
    </xf>
    <xf numFmtId="0" fontId="30" fillId="43" borderId="18" xfId="0" applyFont="1" applyFill="1" applyBorder="1" applyAlignment="1" applyProtection="1">
      <alignment vertical="center"/>
      <protection hidden="1"/>
    </xf>
    <xf numFmtId="0" fontId="30" fillId="43" borderId="15" xfId="0" applyFont="1" applyFill="1" applyBorder="1" applyAlignment="1" applyProtection="1">
      <alignment vertical="center" wrapText="1"/>
      <protection hidden="1"/>
    </xf>
    <xf numFmtId="0" fontId="30" fillId="43" borderId="18" xfId="0" applyFont="1" applyFill="1" applyBorder="1" applyAlignment="1" applyProtection="1">
      <alignment vertical="center" wrapText="1"/>
      <protection hidden="1"/>
    </xf>
    <xf numFmtId="0" fontId="30" fillId="19" borderId="14" xfId="0" applyFont="1" applyFill="1" applyBorder="1" applyAlignment="1" applyProtection="1">
      <alignment vertical="center"/>
      <protection hidden="1"/>
    </xf>
    <xf numFmtId="0" fontId="46" fillId="19" borderId="15" xfId="0" applyFont="1" applyFill="1" applyBorder="1" applyAlignment="1" applyProtection="1">
      <alignment vertical="center"/>
      <protection hidden="1"/>
    </xf>
    <xf numFmtId="0" fontId="30" fillId="19" borderId="15" xfId="0" applyFont="1" applyFill="1" applyBorder="1" applyAlignment="1" applyProtection="1">
      <alignment vertical="center" wrapText="1"/>
      <protection hidden="1"/>
    </xf>
    <xf numFmtId="0" fontId="30" fillId="19" borderId="17" xfId="0" applyFont="1" applyFill="1" applyBorder="1" applyAlignment="1" applyProtection="1">
      <alignment vertical="center"/>
      <protection hidden="1"/>
    </xf>
    <xf numFmtId="0" fontId="46" fillId="19" borderId="18" xfId="0" applyFont="1" applyFill="1" applyBorder="1" applyAlignment="1" applyProtection="1">
      <alignment vertical="center"/>
      <protection hidden="1"/>
    </xf>
    <xf numFmtId="0" fontId="30" fillId="19" borderId="18" xfId="0" applyFont="1" applyFill="1" applyBorder="1" applyAlignment="1" applyProtection="1">
      <alignment vertical="center"/>
      <protection hidden="1"/>
    </xf>
    <xf numFmtId="0" fontId="30" fillId="19" borderId="18" xfId="0" applyFont="1" applyFill="1" applyBorder="1" applyAlignment="1" applyProtection="1">
      <alignment vertical="center" wrapText="1"/>
      <protection hidden="1"/>
    </xf>
    <xf numFmtId="0" fontId="49" fillId="0" borderId="17" xfId="0" applyFont="1" applyFill="1" applyBorder="1" applyAlignment="1" applyProtection="1">
      <alignment vertical="top" wrapText="1"/>
      <protection hidden="1"/>
    </xf>
    <xf numFmtId="0" fontId="49" fillId="0" borderId="18" xfId="0" applyFont="1" applyFill="1" applyBorder="1" applyAlignment="1" applyProtection="1">
      <alignment vertical="top" wrapText="1"/>
      <protection hidden="1"/>
    </xf>
    <xf numFmtId="0" fontId="49" fillId="0" borderId="20" xfId="0" applyFont="1" applyFill="1" applyBorder="1" applyAlignment="1" applyProtection="1">
      <alignment vertical="top" wrapText="1"/>
      <protection hidden="1"/>
    </xf>
    <xf numFmtId="0" fontId="49" fillId="0" borderId="0" xfId="0" applyFont="1" applyFill="1" applyBorder="1" applyAlignment="1" applyProtection="1">
      <alignment vertical="top" wrapText="1"/>
      <protection hidden="1"/>
    </xf>
    <xf numFmtId="0" fontId="49" fillId="0" borderId="21" xfId="0" applyFont="1" applyFill="1" applyBorder="1" applyAlignment="1" applyProtection="1">
      <alignment vertical="top" wrapText="1"/>
      <protection hidden="1"/>
    </xf>
    <xf numFmtId="0" fontId="49" fillId="0" borderId="19" xfId="0" applyFont="1" applyFill="1" applyBorder="1" applyAlignment="1" applyProtection="1">
      <alignment vertical="top" wrapText="1"/>
      <protection hidden="1"/>
    </xf>
    <xf numFmtId="0" fontId="50" fillId="0" borderId="14" xfId="0" applyFont="1" applyFill="1" applyBorder="1" applyAlignment="1" applyProtection="1">
      <alignment vertical="center" wrapText="1"/>
      <protection hidden="1"/>
    </xf>
    <xf numFmtId="0" fontId="50" fillId="0" borderId="15" xfId="0" applyFont="1" applyFill="1" applyBorder="1" applyAlignment="1" applyProtection="1">
      <alignment vertical="center" wrapText="1"/>
      <protection hidden="1"/>
    </xf>
    <xf numFmtId="0" fontId="50" fillId="0" borderId="16" xfId="0" applyFont="1" applyFill="1" applyBorder="1" applyAlignment="1" applyProtection="1">
      <alignment vertical="center" wrapText="1"/>
      <protection hidden="1"/>
    </xf>
    <xf numFmtId="0" fontId="50" fillId="0" borderId="20" xfId="0" applyFont="1" applyFill="1" applyBorder="1" applyAlignment="1" applyProtection="1">
      <alignment vertical="center" wrapText="1"/>
      <protection hidden="1"/>
    </xf>
    <xf numFmtId="0" fontId="50" fillId="0" borderId="0" xfId="0" applyFont="1" applyFill="1" applyBorder="1" applyAlignment="1" applyProtection="1">
      <alignment vertical="center" wrapText="1"/>
      <protection hidden="1"/>
    </xf>
    <xf numFmtId="0" fontId="50" fillId="0" borderId="21" xfId="0" applyFont="1" applyFill="1" applyBorder="1" applyAlignment="1" applyProtection="1">
      <alignment vertical="center" wrapText="1"/>
      <protection hidden="1"/>
    </xf>
    <xf numFmtId="0" fontId="51" fillId="0" borderId="0" xfId="0" applyFont="1" applyFill="1" applyBorder="1" applyAlignment="1" applyProtection="1">
      <alignment vertical="center"/>
      <protection hidden="1"/>
    </xf>
    <xf numFmtId="0" fontId="51" fillId="0" borderId="0" xfId="0" applyFont="1" applyFill="1" applyBorder="1" applyAlignment="1" applyProtection="1">
      <alignment vertical="top" wrapText="1"/>
      <protection hidden="1"/>
    </xf>
    <xf numFmtId="0" fontId="50" fillId="0" borderId="14" xfId="0" applyFont="1" applyFill="1" applyBorder="1" applyAlignment="1" applyProtection="1">
      <alignment vertical="center"/>
      <protection hidden="1"/>
    </xf>
    <xf numFmtId="0" fontId="51" fillId="0" borderId="15" xfId="0" applyFont="1" applyFill="1" applyBorder="1" applyAlignment="1" applyProtection="1">
      <alignment vertical="center"/>
      <protection hidden="1"/>
    </xf>
    <xf numFmtId="2" fontId="53" fillId="0" borderId="15" xfId="0" applyNumberFormat="1" applyFont="1" applyFill="1" applyBorder="1" applyAlignment="1" applyProtection="1">
      <alignment vertical="center"/>
      <protection hidden="1"/>
    </xf>
    <xf numFmtId="0" fontId="54" fillId="0" borderId="0" xfId="0" applyFont="1" applyFill="1" applyBorder="1" applyAlignment="1" applyProtection="1">
      <alignment vertical="center"/>
      <protection hidden="1"/>
    </xf>
    <xf numFmtId="49" fontId="55" fillId="0" borderId="20" xfId="0" applyNumberFormat="1" applyFont="1" applyFill="1" applyBorder="1" applyAlignment="1" applyProtection="1">
      <alignment horizontal="right" vertical="top"/>
      <protection hidden="1"/>
    </xf>
    <xf numFmtId="49" fontId="55" fillId="0" borderId="14" xfId="0" applyNumberFormat="1" applyFont="1" applyFill="1" applyBorder="1" applyAlignment="1" applyProtection="1">
      <alignment horizontal="right" vertical="center"/>
      <protection hidden="1"/>
    </xf>
    <xf numFmtId="0" fontId="52" fillId="0" borderId="0" xfId="0" applyFont="1" applyFill="1" applyBorder="1" applyAlignment="1" applyProtection="1">
      <alignment vertical="top"/>
      <protection hidden="1"/>
    </xf>
    <xf numFmtId="4" fontId="33" fillId="18" borderId="22" xfId="7" applyNumberFormat="1" applyFont="1" applyFill="1" applyBorder="1" applyAlignment="1" applyProtection="1">
      <alignment horizontal="right" vertical="center"/>
      <protection hidden="1"/>
    </xf>
    <xf numFmtId="4" fontId="33" fillId="8" borderId="22" xfId="7" applyNumberFormat="1" applyFont="1" applyFill="1" applyBorder="1" applyAlignment="1" applyProtection="1">
      <alignment horizontal="right" vertical="center"/>
      <protection hidden="1"/>
    </xf>
    <xf numFmtId="4" fontId="35" fillId="3" borderId="10" xfId="7" applyNumberFormat="1" applyFont="1" applyFill="1" applyBorder="1" applyAlignment="1" applyProtection="1">
      <alignment horizontal="right" vertical="center"/>
      <protection hidden="1"/>
    </xf>
    <xf numFmtId="4" fontId="35" fillId="4" borderId="10" xfId="7" applyNumberFormat="1" applyFont="1" applyFill="1" applyBorder="1" applyAlignment="1" applyProtection="1">
      <alignment horizontal="right" vertical="center"/>
      <protection hidden="1"/>
    </xf>
    <xf numFmtId="4" fontId="33" fillId="13" borderId="10" xfId="7" applyNumberFormat="1" applyFont="1" applyFill="1" applyBorder="1" applyAlignment="1" applyProtection="1">
      <alignment horizontal="right" vertical="center"/>
      <protection hidden="1"/>
    </xf>
    <xf numFmtId="4" fontId="33" fillId="5" borderId="10" xfId="7" applyNumberFormat="1" applyFont="1" applyFill="1" applyBorder="1" applyAlignment="1" applyProtection="1">
      <alignment horizontal="right" vertical="center"/>
      <protection hidden="1"/>
    </xf>
    <xf numFmtId="4" fontId="33" fillId="18" borderId="10" xfId="7" applyNumberFormat="1" applyFont="1" applyFill="1" applyBorder="1" applyAlignment="1" applyProtection="1">
      <alignment horizontal="right" vertical="center"/>
      <protection hidden="1"/>
    </xf>
    <xf numFmtId="4" fontId="33" fillId="18" borderId="22" xfId="1" applyNumberFormat="1" applyFont="1" applyFill="1" applyBorder="1" applyAlignment="1" applyProtection="1">
      <alignment horizontal="right" vertical="center"/>
      <protection hidden="1"/>
    </xf>
    <xf numFmtId="4" fontId="33" fillId="8" borderId="22" xfId="1" applyNumberFormat="1" applyFont="1" applyFill="1" applyBorder="1" applyAlignment="1" applyProtection="1">
      <alignment horizontal="right" vertical="center"/>
      <protection hidden="1"/>
    </xf>
    <xf numFmtId="4" fontId="35" fillId="3" borderId="10" xfId="7" applyNumberFormat="1" applyFont="1" applyFill="1" applyBorder="1" applyAlignment="1" applyProtection="1">
      <alignment vertical="center"/>
      <protection hidden="1"/>
    </xf>
    <xf numFmtId="4" fontId="35" fillId="4" borderId="10" xfId="7" applyNumberFormat="1" applyFont="1" applyFill="1" applyBorder="1" applyAlignment="1" applyProtection="1">
      <alignment vertical="center"/>
      <protection hidden="1"/>
    </xf>
    <xf numFmtId="4" fontId="33" fillId="13" borderId="10" xfId="7" applyNumberFormat="1" applyFont="1" applyFill="1" applyBorder="1" applyAlignment="1" applyProtection="1">
      <alignment vertical="center"/>
      <protection hidden="1"/>
    </xf>
    <xf numFmtId="4" fontId="33" fillId="5" borderId="10" xfId="7" applyNumberFormat="1" applyFont="1" applyFill="1" applyBorder="1" applyAlignment="1" applyProtection="1">
      <alignment vertical="center"/>
      <protection hidden="1"/>
    </xf>
    <xf numFmtId="4" fontId="33" fillId="18" borderId="10" xfId="7" applyNumberFormat="1" applyFont="1" applyFill="1" applyBorder="1" applyAlignment="1" applyProtection="1">
      <alignment vertical="center"/>
      <protection hidden="1"/>
    </xf>
    <xf numFmtId="4" fontId="33" fillId="18" borderId="22" xfId="7" applyNumberFormat="1" applyFont="1" applyFill="1" applyBorder="1" applyAlignment="1" applyProtection="1">
      <alignment vertical="center"/>
      <protection hidden="1"/>
    </xf>
    <xf numFmtId="4" fontId="33" fillId="8" borderId="22" xfId="7" applyNumberFormat="1" applyFont="1" applyFill="1" applyBorder="1" applyAlignment="1" applyProtection="1">
      <alignment vertical="center"/>
      <protection hidden="1"/>
    </xf>
    <xf numFmtId="0" fontId="27" fillId="0" borderId="15" xfId="0" applyFont="1" applyFill="1" applyBorder="1" applyAlignment="1" applyProtection="1">
      <alignment vertical="center"/>
      <protection hidden="1"/>
    </xf>
    <xf numFmtId="0" fontId="27" fillId="0" borderId="15" xfId="0" applyFont="1" applyFill="1" applyBorder="1" applyAlignment="1" applyProtection="1">
      <alignment vertical="center" wrapText="1"/>
      <protection hidden="1"/>
    </xf>
    <xf numFmtId="0" fontId="27" fillId="0" borderId="0" xfId="0" applyFont="1" applyFill="1" applyBorder="1" applyAlignment="1" applyProtection="1">
      <alignment horizontal="center" vertical="center"/>
      <protection hidden="1"/>
    </xf>
    <xf numFmtId="4" fontId="27" fillId="0" borderId="20" xfId="1" applyNumberFormat="1" applyFont="1" applyFill="1" applyBorder="1" applyAlignment="1" applyProtection="1">
      <alignment horizontal="center" vertical="center"/>
      <protection hidden="1"/>
    </xf>
    <xf numFmtId="1" fontId="27" fillId="0" borderId="0" xfId="1" applyNumberFormat="1" applyFont="1" applyFill="1" applyBorder="1" applyAlignment="1" applyProtection="1">
      <alignment horizontal="center" vertical="center"/>
      <protection hidden="1"/>
    </xf>
    <xf numFmtId="4" fontId="26" fillId="0" borderId="20" xfId="1" applyNumberFormat="1" applyFont="1" applyFill="1" applyBorder="1" applyAlignment="1" applyProtection="1">
      <alignment horizontal="center" vertical="center"/>
      <protection hidden="1"/>
    </xf>
    <xf numFmtId="9" fontId="29" fillId="0" borderId="20" xfId="1" applyFont="1" applyFill="1" applyBorder="1" applyAlignment="1" applyProtection="1">
      <alignment horizontal="center" vertical="center"/>
      <protection hidden="1"/>
    </xf>
    <xf numFmtId="165" fontId="29" fillId="0" borderId="20" xfId="1" applyNumberFormat="1" applyFont="1" applyFill="1" applyBorder="1" applyAlignment="1" applyProtection="1">
      <alignment horizontal="center" vertical="center"/>
      <protection hidden="1"/>
    </xf>
    <xf numFmtId="171" fontId="33" fillId="0" borderId="20" xfId="7" applyNumberFormat="1" applyFont="1" applyFill="1" applyBorder="1" applyAlignment="1" applyProtection="1">
      <alignment horizontal="center" vertical="center"/>
      <protection hidden="1"/>
    </xf>
    <xf numFmtId="0" fontId="29" fillId="0" borderId="20" xfId="0" applyFont="1" applyFill="1" applyBorder="1" applyAlignment="1" applyProtection="1">
      <alignment vertical="center"/>
      <protection hidden="1"/>
    </xf>
    <xf numFmtId="0" fontId="22" fillId="0" borderId="17" xfId="0" applyFont="1" applyFill="1" applyBorder="1" applyAlignment="1" applyProtection="1">
      <alignment vertical="center" wrapText="1"/>
      <protection hidden="1"/>
    </xf>
    <xf numFmtId="0" fontId="27" fillId="0" borderId="14" xfId="0" applyFont="1" applyFill="1" applyBorder="1" applyAlignment="1" applyProtection="1">
      <alignment vertical="center"/>
      <protection hidden="1"/>
    </xf>
    <xf numFmtId="0" fontId="27" fillId="0" borderId="20" xfId="0" applyFont="1" applyFill="1" applyBorder="1" applyAlignment="1" applyProtection="1">
      <alignment horizontal="center" vertical="center"/>
      <protection hidden="1"/>
    </xf>
    <xf numFmtId="171" fontId="35" fillId="0" borderId="20" xfId="7" applyNumberFormat="1" applyFont="1" applyFill="1" applyBorder="1" applyAlignment="1" applyProtection="1">
      <alignment horizontal="center" vertical="center"/>
      <protection hidden="1"/>
    </xf>
    <xf numFmtId="170" fontId="56" fillId="30" borderId="0" xfId="0" applyNumberFormat="1" applyFont="1" applyFill="1" applyBorder="1" applyAlignment="1" applyProtection="1">
      <alignment vertical="center"/>
      <protection hidden="1"/>
    </xf>
    <xf numFmtId="0" fontId="57" fillId="30" borderId="0" xfId="0" applyFont="1" applyFill="1" applyBorder="1" applyAlignment="1">
      <alignment vertical="center"/>
    </xf>
    <xf numFmtId="0" fontId="57" fillId="30" borderId="0" xfId="0" applyFont="1" applyFill="1" applyBorder="1" applyAlignment="1" applyProtection="1">
      <alignment horizontal="right" vertical="center"/>
      <protection hidden="1"/>
    </xf>
    <xf numFmtId="170" fontId="57" fillId="30" borderId="0" xfId="0" applyNumberFormat="1" applyFont="1" applyFill="1" applyBorder="1" applyAlignment="1" applyProtection="1">
      <alignment vertical="center"/>
      <protection hidden="1"/>
    </xf>
    <xf numFmtId="0" fontId="57" fillId="30" borderId="0" xfId="0" applyFont="1" applyFill="1" applyBorder="1" applyAlignment="1" applyProtection="1">
      <alignment vertical="center"/>
      <protection hidden="1"/>
    </xf>
    <xf numFmtId="0" fontId="57" fillId="30" borderId="0" xfId="0" applyFont="1" applyFill="1" applyBorder="1" applyAlignment="1">
      <alignment horizontal="right" vertical="center"/>
    </xf>
    <xf numFmtId="170" fontId="58" fillId="30" borderId="0" xfId="0" applyNumberFormat="1" applyFont="1" applyFill="1" applyBorder="1" applyAlignment="1" applyProtection="1">
      <alignment vertical="center"/>
      <protection hidden="1"/>
    </xf>
    <xf numFmtId="0" fontId="58" fillId="30" borderId="0" xfId="0" applyFont="1" applyFill="1" applyBorder="1" applyAlignment="1" applyProtection="1">
      <alignment vertical="center" wrapText="1"/>
      <protection hidden="1"/>
    </xf>
    <xf numFmtId="0" fontId="58" fillId="30" borderId="0" xfId="0" applyFont="1" applyFill="1" applyBorder="1" applyAlignment="1" applyProtection="1">
      <alignment vertical="center"/>
      <protection hidden="1"/>
    </xf>
    <xf numFmtId="9" fontId="57" fillId="30" borderId="0" xfId="1" applyFont="1" applyFill="1" applyBorder="1" applyAlignment="1" applyProtection="1">
      <alignment horizontal="center" vertical="center"/>
      <protection hidden="1"/>
    </xf>
    <xf numFmtId="165" fontId="57" fillId="30" borderId="0" xfId="1" applyNumberFormat="1" applyFont="1" applyFill="1" applyBorder="1" applyAlignment="1" applyProtection="1">
      <alignment horizontal="center" vertical="center"/>
      <protection hidden="1"/>
    </xf>
    <xf numFmtId="0" fontId="58" fillId="30" borderId="0" xfId="0" quotePrefix="1" applyFont="1" applyFill="1" applyBorder="1" applyAlignment="1" applyProtection="1">
      <alignment vertical="center" textRotation="90" wrapText="1"/>
      <protection hidden="1"/>
    </xf>
    <xf numFmtId="171" fontId="59" fillId="30" borderId="0" xfId="7" applyNumberFormat="1" applyFont="1" applyFill="1" applyBorder="1" applyAlignment="1" applyProtection="1">
      <alignment horizontal="center" vertical="center"/>
      <protection hidden="1"/>
    </xf>
    <xf numFmtId="176" fontId="58" fillId="30" borderId="0" xfId="0" applyNumberFormat="1" applyFont="1" applyFill="1" applyBorder="1" applyAlignment="1" applyProtection="1">
      <alignment vertical="center"/>
      <protection hidden="1"/>
    </xf>
    <xf numFmtId="3" fontId="58" fillId="30" borderId="0" xfId="7" applyNumberFormat="1" applyFont="1" applyFill="1" applyBorder="1" applyAlignment="1" applyProtection="1">
      <alignment vertical="center"/>
      <protection hidden="1"/>
    </xf>
    <xf numFmtId="0" fontId="58" fillId="30" borderId="0" xfId="0" applyFont="1" applyFill="1" applyBorder="1" applyAlignment="1" applyProtection="1">
      <alignment horizontal="center" vertical="center"/>
      <protection hidden="1"/>
    </xf>
    <xf numFmtId="4" fontId="58" fillId="30" borderId="0" xfId="0" applyNumberFormat="1" applyFont="1" applyFill="1" applyBorder="1" applyAlignment="1" applyProtection="1">
      <alignment vertical="center"/>
      <protection hidden="1"/>
    </xf>
    <xf numFmtId="3" fontId="58" fillId="30" borderId="0" xfId="0" applyNumberFormat="1" applyFont="1" applyFill="1" applyBorder="1" applyAlignment="1" applyProtection="1">
      <alignment vertical="center"/>
      <protection hidden="1"/>
    </xf>
    <xf numFmtId="0" fontId="58" fillId="30" borderId="0" xfId="0" applyFont="1" applyFill="1" applyBorder="1" applyAlignment="1" applyProtection="1">
      <alignment horizontal="left" vertical="center" wrapText="1"/>
      <protection hidden="1"/>
    </xf>
    <xf numFmtId="0" fontId="58" fillId="30" borderId="0" xfId="0" applyFont="1" applyFill="1" applyBorder="1" applyAlignment="1" applyProtection="1">
      <alignment horizontal="center" vertical="center" wrapText="1"/>
      <protection hidden="1"/>
    </xf>
    <xf numFmtId="0" fontId="58" fillId="30" borderId="0" xfId="0" applyFont="1" applyFill="1" applyBorder="1" applyAlignment="1" applyProtection="1">
      <alignment horizontal="left" vertical="center"/>
      <protection hidden="1"/>
    </xf>
    <xf numFmtId="0" fontId="57" fillId="30" borderId="0" xfId="0" applyFont="1" applyFill="1" applyBorder="1" applyAlignment="1" applyProtection="1">
      <alignment horizontal="left" vertical="center"/>
      <protection hidden="1"/>
    </xf>
    <xf numFmtId="4" fontId="58" fillId="30" borderId="0" xfId="0" applyNumberFormat="1" applyFont="1" applyFill="1" applyBorder="1" applyAlignment="1" applyProtection="1">
      <alignment vertical="center" wrapText="1"/>
      <protection hidden="1"/>
    </xf>
    <xf numFmtId="4" fontId="58" fillId="30" borderId="0" xfId="0" applyNumberFormat="1" applyFont="1" applyFill="1" applyBorder="1" applyAlignment="1" applyProtection="1">
      <alignment horizontal="center" vertical="center" wrapText="1"/>
      <protection hidden="1"/>
    </xf>
    <xf numFmtId="1" fontId="58" fillId="30" borderId="0" xfId="1" applyNumberFormat="1" applyFont="1" applyFill="1" applyBorder="1" applyAlignment="1" applyProtection="1">
      <alignment horizontal="right" vertical="center"/>
      <protection hidden="1"/>
    </xf>
    <xf numFmtId="4" fontId="35" fillId="3" borderId="10" xfId="1" applyNumberFormat="1" applyFont="1" applyFill="1" applyBorder="1" applyAlignment="1" applyProtection="1">
      <alignment horizontal="right" vertical="center"/>
      <protection hidden="1"/>
    </xf>
    <xf numFmtId="4" fontId="35" fillId="4" borderId="10" xfId="1" applyNumberFormat="1" applyFont="1" applyFill="1" applyBorder="1" applyAlignment="1" applyProtection="1">
      <alignment horizontal="right" vertical="center"/>
      <protection hidden="1"/>
    </xf>
    <xf numFmtId="4" fontId="33" fillId="13" borderId="10" xfId="1" applyNumberFormat="1" applyFont="1" applyFill="1" applyBorder="1" applyAlignment="1" applyProtection="1">
      <alignment horizontal="right" vertical="center"/>
      <protection hidden="1"/>
    </xf>
    <xf numFmtId="4" fontId="35" fillId="10" borderId="10" xfId="1" applyNumberFormat="1" applyFont="1" applyFill="1" applyBorder="1" applyAlignment="1" applyProtection="1">
      <alignment horizontal="right" vertical="center"/>
      <protection hidden="1"/>
    </xf>
    <xf numFmtId="4" fontId="33" fillId="8" borderId="10" xfId="1" applyNumberFormat="1" applyFont="1" applyFill="1" applyBorder="1" applyAlignment="1" applyProtection="1">
      <alignment horizontal="right" vertical="center"/>
      <protection hidden="1"/>
    </xf>
    <xf numFmtId="4" fontId="22" fillId="0" borderId="12" xfId="1" applyNumberFormat="1" applyFont="1" applyFill="1" applyBorder="1" applyAlignment="1" applyProtection="1">
      <alignment horizontal="right" vertical="center"/>
      <protection hidden="1"/>
    </xf>
    <xf numFmtId="4" fontId="23" fillId="0" borderId="12" xfId="0" applyNumberFormat="1" applyFont="1" applyFill="1" applyBorder="1" applyAlignment="1" applyProtection="1">
      <alignment horizontal="right" vertical="center"/>
      <protection hidden="1"/>
    </xf>
    <xf numFmtId="3" fontId="35" fillId="3" borderId="10" xfId="1" applyNumberFormat="1" applyFont="1" applyFill="1" applyBorder="1" applyAlignment="1" applyProtection="1">
      <alignment horizontal="right" vertical="center"/>
      <protection hidden="1"/>
    </xf>
    <xf numFmtId="3" fontId="33" fillId="13" borderId="10" xfId="1" applyNumberFormat="1" applyFont="1" applyFill="1" applyBorder="1" applyAlignment="1" applyProtection="1">
      <alignment horizontal="right" vertical="center"/>
      <protection hidden="1"/>
    </xf>
    <xf numFmtId="3" fontId="35" fillId="10" borderId="10" xfId="1" applyNumberFormat="1" applyFont="1" applyFill="1" applyBorder="1" applyAlignment="1" applyProtection="1">
      <alignment horizontal="right" vertical="center"/>
      <protection hidden="1"/>
    </xf>
    <xf numFmtId="3" fontId="33" fillId="8" borderId="10" xfId="1" applyNumberFormat="1" applyFont="1" applyFill="1" applyBorder="1" applyAlignment="1" applyProtection="1">
      <alignment horizontal="right" vertical="center"/>
      <protection hidden="1"/>
    </xf>
    <xf numFmtId="3" fontId="27" fillId="0" borderId="10" xfId="1" applyNumberFormat="1" applyFont="1" applyFill="1" applyBorder="1" applyAlignment="1" applyProtection="1">
      <alignment horizontal="right" vertical="center"/>
      <protection hidden="1"/>
    </xf>
    <xf numFmtId="0" fontId="23" fillId="2" borderId="18" xfId="0" applyFont="1" applyFill="1" applyBorder="1" applyAlignment="1" applyProtection="1">
      <alignment horizontal="right" vertical="center"/>
      <protection hidden="1"/>
    </xf>
    <xf numFmtId="4" fontId="26" fillId="10" borderId="10" xfId="0" applyNumberFormat="1" applyFont="1" applyFill="1" applyBorder="1" applyAlignment="1" applyProtection="1">
      <alignment vertical="center"/>
      <protection hidden="1"/>
    </xf>
    <xf numFmtId="4" fontId="26" fillId="6" borderId="10" xfId="0" applyNumberFormat="1" applyFont="1" applyFill="1" applyBorder="1" applyAlignment="1" applyProtection="1">
      <alignment vertical="center"/>
      <protection hidden="1"/>
    </xf>
    <xf numFmtId="4" fontId="27" fillId="3" borderId="10" xfId="0" applyNumberFormat="1" applyFont="1" applyFill="1" applyBorder="1" applyAlignment="1" applyProtection="1">
      <alignment vertical="center"/>
      <protection hidden="1"/>
    </xf>
    <xf numFmtId="4" fontId="27" fillId="4" borderId="10" xfId="0" applyNumberFormat="1" applyFont="1" applyFill="1" applyBorder="1" applyAlignment="1" applyProtection="1">
      <alignment vertical="center"/>
      <protection hidden="1"/>
    </xf>
    <xf numFmtId="4" fontId="27" fillId="7" borderId="10" xfId="0" applyNumberFormat="1" applyFont="1" applyFill="1" applyBorder="1" applyAlignment="1" applyProtection="1">
      <alignment vertical="center"/>
      <protection hidden="1"/>
    </xf>
    <xf numFmtId="4" fontId="27" fillId="21" borderId="10" xfId="0" applyNumberFormat="1" applyFont="1" applyFill="1" applyBorder="1" applyAlignment="1" applyProtection="1">
      <alignment vertical="center"/>
      <protection hidden="1"/>
    </xf>
    <xf numFmtId="171" fontId="57" fillId="30" borderId="0" xfId="0" applyNumberFormat="1" applyFont="1" applyFill="1" applyBorder="1" applyAlignment="1" applyProtection="1">
      <alignment vertical="center"/>
      <protection hidden="1"/>
    </xf>
    <xf numFmtId="0" fontId="6" fillId="0" borderId="0" xfId="12" applyFill="1"/>
    <xf numFmtId="0" fontId="24" fillId="2" borderId="17" xfId="0" applyFont="1" applyFill="1" applyBorder="1" applyAlignment="1" applyProtection="1">
      <alignment horizontal="right" vertical="center"/>
      <protection hidden="1"/>
    </xf>
    <xf numFmtId="0" fontId="24" fillId="2" borderId="17" xfId="0" applyFont="1" applyFill="1" applyBorder="1" applyAlignment="1">
      <alignment horizontal="right" vertical="center"/>
    </xf>
    <xf numFmtId="0" fontId="22" fillId="0" borderId="13" xfId="0" applyFont="1" applyFill="1" applyBorder="1" applyAlignment="1">
      <alignment horizontal="center" vertical="center"/>
    </xf>
    <xf numFmtId="171" fontId="35" fillId="0" borderId="22" xfId="7" applyNumberFormat="1" applyFont="1" applyFill="1" applyBorder="1" applyAlignment="1" applyProtection="1">
      <alignment horizontal="center" vertical="center"/>
      <protection hidden="1"/>
    </xf>
    <xf numFmtId="171" fontId="33" fillId="0" borderId="22" xfId="7" applyNumberFormat="1" applyFont="1" applyFill="1" applyBorder="1" applyAlignment="1" applyProtection="1">
      <alignment horizontal="center" vertical="center"/>
      <protection hidden="1"/>
    </xf>
    <xf numFmtId="1" fontId="27" fillId="0" borderId="17" xfId="1" applyNumberFormat="1" applyFont="1" applyFill="1" applyBorder="1" applyAlignment="1" applyProtection="1">
      <alignment horizontal="right" vertical="center"/>
      <protection hidden="1"/>
    </xf>
    <xf numFmtId="0" fontId="22" fillId="0" borderId="19" xfId="0" applyFont="1" applyFill="1" applyBorder="1" applyAlignment="1" applyProtection="1">
      <alignment horizontal="center" vertical="center"/>
      <protection hidden="1"/>
    </xf>
    <xf numFmtId="171" fontId="35" fillId="0" borderId="15" xfId="7" applyNumberFormat="1" applyFont="1" applyFill="1" applyBorder="1" applyAlignment="1" applyProtection="1">
      <alignment horizontal="center" vertical="center"/>
      <protection hidden="1"/>
    </xf>
    <xf numFmtId="171" fontId="33" fillId="0" borderId="15" xfId="7" applyNumberFormat="1" applyFont="1" applyFill="1" applyBorder="1" applyAlignment="1" applyProtection="1">
      <alignment horizontal="center" vertical="center"/>
      <protection hidden="1"/>
    </xf>
    <xf numFmtId="171" fontId="33" fillId="0" borderId="16" xfId="7" applyNumberFormat="1" applyFont="1" applyFill="1" applyBorder="1" applyAlignment="1" applyProtection="1">
      <alignment horizontal="center" vertical="center"/>
      <protection hidden="1"/>
    </xf>
    <xf numFmtId="165" fontId="27" fillId="2" borderId="18" xfId="1" applyNumberFormat="1" applyFont="1" applyFill="1" applyBorder="1" applyAlignment="1" applyProtection="1">
      <alignment horizontal="center" vertical="center"/>
      <protection hidden="1"/>
    </xf>
    <xf numFmtId="0" fontId="22" fillId="0" borderId="18" xfId="0" applyFont="1" applyFill="1" applyBorder="1" applyAlignment="1" applyProtection="1">
      <alignment horizontal="center" vertical="center"/>
      <protection hidden="1"/>
    </xf>
    <xf numFmtId="4" fontId="27" fillId="0" borderId="18" xfId="0" applyNumberFormat="1" applyFont="1" applyFill="1" applyBorder="1" applyAlignment="1" applyProtection="1">
      <alignment vertical="center"/>
      <protection hidden="1"/>
    </xf>
    <xf numFmtId="171" fontId="33" fillId="0" borderId="11" xfId="1" applyNumberFormat="1" applyFont="1" applyFill="1" applyBorder="1" applyAlignment="1" applyProtection="1">
      <alignment horizontal="center" vertical="center"/>
      <protection hidden="1"/>
    </xf>
    <xf numFmtId="2" fontId="29" fillId="0" borderId="12" xfId="1" applyNumberFormat="1" applyFont="1" applyFill="1" applyBorder="1" applyAlignment="1" applyProtection="1">
      <alignment horizontal="center" vertical="center"/>
      <protection hidden="1"/>
    </xf>
    <xf numFmtId="2" fontId="29" fillId="0" borderId="13" xfId="1" applyNumberFormat="1" applyFont="1" applyFill="1" applyBorder="1" applyAlignment="1" applyProtection="1">
      <alignment horizontal="center" vertical="center"/>
      <protection hidden="1"/>
    </xf>
    <xf numFmtId="0" fontId="30" fillId="0" borderId="11" xfId="0" applyFont="1" applyFill="1" applyBorder="1" applyAlignment="1" applyProtection="1">
      <alignment vertical="center"/>
      <protection hidden="1"/>
    </xf>
    <xf numFmtId="0" fontId="30" fillId="0" borderId="12" xfId="0" applyFont="1" applyFill="1" applyBorder="1" applyAlignment="1" applyProtection="1">
      <alignment vertical="center" wrapText="1"/>
      <protection hidden="1"/>
    </xf>
    <xf numFmtId="0" fontId="30" fillId="0" borderId="12" xfId="0" applyFont="1" applyFill="1" applyBorder="1" applyAlignment="1" applyProtection="1">
      <alignment vertical="center"/>
      <protection hidden="1"/>
    </xf>
    <xf numFmtId="0" fontId="30" fillId="0" borderId="13" xfId="0" applyFont="1" applyFill="1" applyBorder="1" applyAlignment="1" applyProtection="1">
      <alignment vertical="center" wrapText="1"/>
      <protection hidden="1"/>
    </xf>
    <xf numFmtId="0" fontId="22" fillId="0" borderId="14" xfId="0" applyFont="1" applyFill="1" applyBorder="1" applyAlignment="1" applyProtection="1">
      <alignment horizontal="left" vertical="center" wrapText="1"/>
      <protection hidden="1"/>
    </xf>
    <xf numFmtId="0" fontId="22" fillId="0" borderId="15" xfId="0" applyFont="1" applyFill="1" applyBorder="1" applyAlignment="1" applyProtection="1">
      <alignment vertical="center"/>
      <protection hidden="1"/>
    </xf>
    <xf numFmtId="0" fontId="22" fillId="0" borderId="20" xfId="0" applyFont="1" applyFill="1" applyBorder="1" applyAlignment="1" applyProtection="1">
      <alignment horizontal="left" vertical="center"/>
      <protection hidden="1"/>
    </xf>
    <xf numFmtId="176" fontId="22" fillId="0" borderId="0" xfId="0" applyNumberFormat="1" applyFont="1" applyFill="1" applyBorder="1" applyAlignment="1" applyProtection="1">
      <alignment vertical="center"/>
      <protection hidden="1"/>
    </xf>
    <xf numFmtId="3" fontId="22" fillId="0" borderId="0" xfId="0" applyNumberFormat="1" applyFont="1" applyFill="1" applyBorder="1" applyAlignment="1" applyProtection="1">
      <alignment vertical="center"/>
      <protection hidden="1"/>
    </xf>
    <xf numFmtId="3" fontId="22" fillId="0" borderId="15" xfId="0" applyNumberFormat="1" applyFont="1" applyFill="1" applyBorder="1" applyAlignment="1" applyProtection="1">
      <alignment vertical="center" wrapText="1"/>
      <protection hidden="1"/>
    </xf>
    <xf numFmtId="0" fontId="22" fillId="0" borderId="0" xfId="0" quotePrefix="1" applyFont="1" applyFill="1" applyBorder="1" applyAlignment="1" applyProtection="1">
      <alignment vertical="center" textRotation="90" wrapText="1"/>
      <protection hidden="1"/>
    </xf>
    <xf numFmtId="0" fontId="29" fillId="0" borderId="20" xfId="0" applyFont="1" applyFill="1" applyBorder="1" applyAlignment="1" applyProtection="1">
      <alignment horizontal="left" vertical="center"/>
      <protection hidden="1"/>
    </xf>
    <xf numFmtId="3" fontId="22" fillId="0" borderId="0" xfId="7" applyNumberFormat="1" applyFont="1" applyFill="1" applyBorder="1" applyAlignment="1" applyProtection="1">
      <alignment vertical="center"/>
      <protection hidden="1"/>
    </xf>
    <xf numFmtId="4" fontId="22" fillId="0" borderId="15" xfId="0" applyNumberFormat="1" applyFont="1" applyFill="1" applyBorder="1" applyAlignment="1" applyProtection="1">
      <alignment vertical="center" wrapText="1"/>
      <protection hidden="1"/>
    </xf>
    <xf numFmtId="4" fontId="22" fillId="0" borderId="0" xfId="1" applyNumberFormat="1" applyFont="1" applyFill="1" applyBorder="1" applyAlignment="1" applyProtection="1">
      <alignment horizontal="center" vertical="center"/>
      <protection hidden="1"/>
    </xf>
    <xf numFmtId="1" fontId="22" fillId="0" borderId="0" xfId="1" applyNumberFormat="1" applyFont="1" applyFill="1" applyBorder="1" applyAlignment="1" applyProtection="1">
      <alignment horizontal="center" vertical="center"/>
      <protection hidden="1"/>
    </xf>
    <xf numFmtId="171" fontId="33" fillId="0" borderId="0" xfId="7" applyNumberFormat="1" applyFont="1" applyFill="1" applyBorder="1" applyAlignment="1" applyProtection="1">
      <alignment vertical="center"/>
      <protection hidden="1"/>
    </xf>
    <xf numFmtId="171" fontId="33" fillId="0" borderId="0" xfId="7" applyNumberFormat="1" applyFont="1" applyFill="1" applyBorder="1" applyAlignment="1" applyProtection="1">
      <alignment vertical="center" wrapText="1"/>
      <protection hidden="1"/>
    </xf>
    <xf numFmtId="4" fontId="29" fillId="0" borderId="0" xfId="1" applyNumberFormat="1" applyFont="1" applyFill="1" applyBorder="1" applyAlignment="1" applyProtection="1">
      <alignment horizontal="center" vertical="center"/>
      <protection hidden="1"/>
    </xf>
    <xf numFmtId="4" fontId="22" fillId="0" borderId="15" xfId="0" applyNumberFormat="1" applyFont="1" applyFill="1" applyBorder="1" applyAlignment="1" applyProtection="1">
      <alignment horizontal="center" vertical="center" wrapText="1"/>
      <protection hidden="1"/>
    </xf>
    <xf numFmtId="4" fontId="22" fillId="0" borderId="16" xfId="0" applyNumberFormat="1" applyFont="1" applyFill="1" applyBorder="1" applyAlignment="1" applyProtection="1">
      <alignment vertical="center" wrapText="1"/>
      <protection hidden="1"/>
    </xf>
    <xf numFmtId="4" fontId="22" fillId="0" borderId="14" xfId="0" applyNumberFormat="1" applyFont="1" applyFill="1" applyBorder="1" applyAlignment="1" applyProtection="1">
      <alignment vertical="center" wrapText="1"/>
      <protection hidden="1"/>
    </xf>
    <xf numFmtId="171" fontId="33" fillId="0" borderId="0" xfId="7" applyNumberFormat="1" applyFont="1" applyFill="1" applyBorder="1" applyAlignment="1" applyProtection="1">
      <alignment horizontal="center" vertical="center" wrapText="1"/>
      <protection hidden="1"/>
    </xf>
    <xf numFmtId="3" fontId="22" fillId="0" borderId="0" xfId="1" applyNumberFormat="1" applyFont="1" applyFill="1" applyBorder="1" applyAlignment="1" applyProtection="1">
      <alignment vertical="center"/>
      <protection hidden="1"/>
    </xf>
    <xf numFmtId="4" fontId="22" fillId="0" borderId="0" xfId="1" applyNumberFormat="1" applyFont="1" applyFill="1" applyBorder="1" applyAlignment="1" applyProtection="1">
      <alignment vertical="center"/>
      <protection hidden="1"/>
    </xf>
    <xf numFmtId="0" fontId="29" fillId="30" borderId="20" xfId="0" applyFont="1" applyFill="1" applyBorder="1" applyAlignment="1" applyProtection="1">
      <alignment vertical="center" wrapText="1"/>
      <protection hidden="1"/>
    </xf>
    <xf numFmtId="0" fontId="4" fillId="6" borderId="2" xfId="0" applyFont="1" applyFill="1" applyBorder="1" applyAlignment="1" applyProtection="1">
      <alignment horizontal="left" vertical="center" wrapText="1"/>
      <protection hidden="1"/>
    </xf>
    <xf numFmtId="0" fontId="0" fillId="12" borderId="0" xfId="0" applyFill="1" applyProtection="1">
      <protection hidden="1"/>
    </xf>
    <xf numFmtId="177" fontId="0" fillId="12" borderId="0" xfId="0" applyNumberFormat="1" applyFill="1" applyAlignment="1" applyProtection="1">
      <alignment horizontal="left"/>
      <protection locked="0" hidden="1"/>
    </xf>
    <xf numFmtId="14" fontId="0" fillId="12" borderId="0" xfId="0" applyNumberFormat="1" applyFill="1" applyAlignment="1" applyProtection="1">
      <alignment horizontal="left"/>
      <protection locked="0" hidden="1"/>
    </xf>
    <xf numFmtId="1" fontId="0" fillId="12" borderId="0" xfId="0" applyNumberFormat="1" applyFill="1" applyAlignment="1" applyProtection="1">
      <alignment horizontal="center"/>
      <protection locked="0" hidden="1"/>
    </xf>
    <xf numFmtId="0" fontId="0" fillId="0" borderId="0" xfId="0" applyFill="1" applyProtection="1">
      <protection hidden="1"/>
    </xf>
    <xf numFmtId="14" fontId="0" fillId="2" borderId="0" xfId="0" applyNumberFormat="1" applyFill="1" applyAlignment="1" applyProtection="1">
      <alignment horizontal="left"/>
      <protection hidden="1"/>
    </xf>
    <xf numFmtId="0" fontId="12" fillId="2" borderId="5" xfId="0" applyFont="1" applyFill="1" applyBorder="1" applyAlignment="1" applyProtection="1">
      <alignment horizontal="center" vertical="center"/>
      <protection hidden="1"/>
    </xf>
    <xf numFmtId="1" fontId="16" fillId="2" borderId="4" xfId="0" applyNumberFormat="1" applyFont="1" applyFill="1" applyBorder="1" applyAlignment="1" applyProtection="1">
      <alignment horizontal="left" vertical="center"/>
      <protection hidden="1"/>
    </xf>
    <xf numFmtId="1" fontId="16" fillId="2" borderId="0" xfId="0" applyNumberFormat="1" applyFont="1" applyFill="1" applyBorder="1" applyAlignment="1" applyProtection="1">
      <alignment horizontal="left" vertical="center"/>
      <protection hidden="1"/>
    </xf>
    <xf numFmtId="0" fontId="0" fillId="2" borderId="0" xfId="0" applyFill="1" applyBorder="1" applyProtection="1">
      <protection hidden="1"/>
    </xf>
    <xf numFmtId="0" fontId="0" fillId="12" borderId="0" xfId="0" applyFill="1" applyAlignment="1" applyProtection="1">
      <alignment horizontal="left"/>
      <protection locked="0" hidden="1"/>
    </xf>
    <xf numFmtId="0" fontId="2" fillId="3" borderId="0" xfId="0" applyFont="1" applyFill="1" applyBorder="1" applyAlignment="1" applyProtection="1">
      <protection locked="0" hidden="1"/>
    </xf>
    <xf numFmtId="0" fontId="0" fillId="3" borderId="2" xfId="0" applyFill="1" applyBorder="1" applyAlignment="1" applyProtection="1">
      <protection locked="0" hidden="1"/>
    </xf>
    <xf numFmtId="0" fontId="16" fillId="3" borderId="8" xfId="0" applyFont="1" applyFill="1" applyBorder="1" applyAlignment="1" applyProtection="1">
      <protection locked="0" hidden="1"/>
    </xf>
    <xf numFmtId="0" fontId="16" fillId="3" borderId="3" xfId="0" applyFont="1" applyFill="1" applyBorder="1" applyAlignment="1" applyProtection="1">
      <protection locked="0" hidden="1"/>
    </xf>
    <xf numFmtId="0" fontId="3" fillId="5" borderId="2" xfId="0" applyNumberFormat="1" applyFont="1" applyFill="1" applyBorder="1" applyAlignment="1" applyProtection="1">
      <alignment horizontal="left"/>
      <protection hidden="1"/>
    </xf>
    <xf numFmtId="0" fontId="3" fillId="5" borderId="2" xfId="0" applyFont="1" applyFill="1" applyBorder="1" applyAlignment="1" applyProtection="1">
      <alignment horizontal="left"/>
      <protection hidden="1"/>
    </xf>
    <xf numFmtId="0" fontId="15" fillId="3" borderId="0" xfId="0" applyFont="1" applyFill="1" applyBorder="1" applyAlignment="1" applyProtection="1">
      <alignment horizontal="right" vertical="center" wrapText="1"/>
      <protection hidden="1"/>
    </xf>
    <xf numFmtId="0" fontId="4" fillId="6" borderId="2" xfId="0" applyFont="1" applyFill="1" applyBorder="1" applyAlignment="1" applyProtection="1">
      <alignment horizontal="left" vertical="center" wrapText="1"/>
      <protection hidden="1"/>
    </xf>
    <xf numFmtId="0" fontId="5" fillId="5" borderId="2" xfId="0" applyFont="1" applyFill="1" applyBorder="1" applyAlignment="1" applyProtection="1">
      <alignment horizontal="left"/>
      <protection hidden="1"/>
    </xf>
    <xf numFmtId="0" fontId="2" fillId="3" borderId="0" xfId="0" applyFont="1" applyFill="1" applyBorder="1" applyAlignment="1" applyProtection="1">
      <alignment horizontal="center"/>
      <protection hidden="1"/>
    </xf>
    <xf numFmtId="0" fontId="30" fillId="44" borderId="14" xfId="0" applyFont="1" applyFill="1" applyBorder="1" applyAlignment="1" applyProtection="1">
      <alignment horizontal="center" vertical="center" wrapText="1"/>
      <protection hidden="1"/>
    </xf>
    <xf numFmtId="0" fontId="30" fillId="19" borderId="15" xfId="0" applyFont="1" applyFill="1" applyBorder="1" applyAlignment="1" applyProtection="1">
      <alignment horizontal="center" vertical="center" wrapText="1"/>
      <protection hidden="1"/>
    </xf>
    <xf numFmtId="0" fontId="30" fillId="19" borderId="16" xfId="0" applyFont="1" applyFill="1" applyBorder="1" applyAlignment="1" applyProtection="1">
      <alignment horizontal="center" vertical="center" wrapText="1"/>
      <protection hidden="1"/>
    </xf>
    <xf numFmtId="0" fontId="30" fillId="19" borderId="17" xfId="0" applyFont="1" applyFill="1" applyBorder="1" applyAlignment="1" applyProtection="1">
      <alignment horizontal="center" vertical="center" wrapText="1"/>
      <protection hidden="1"/>
    </xf>
    <xf numFmtId="0" fontId="30" fillId="19" borderId="18" xfId="0" applyFont="1" applyFill="1" applyBorder="1" applyAlignment="1" applyProtection="1">
      <alignment horizontal="center" vertical="center" wrapText="1"/>
      <protection hidden="1"/>
    </xf>
    <xf numFmtId="0" fontId="30" fillId="19" borderId="19" xfId="0" applyFont="1" applyFill="1" applyBorder="1" applyAlignment="1" applyProtection="1">
      <alignment horizontal="center" vertical="center" wrapText="1"/>
      <protection hidden="1"/>
    </xf>
    <xf numFmtId="0" fontId="49" fillId="0" borderId="14" xfId="0" applyFont="1" applyFill="1" applyBorder="1" applyAlignment="1" applyProtection="1">
      <alignment horizontal="left" vertical="center" wrapText="1"/>
      <protection hidden="1"/>
    </xf>
    <xf numFmtId="0" fontId="49" fillId="0" borderId="15" xfId="0" applyFont="1" applyFill="1" applyBorder="1" applyAlignment="1" applyProtection="1">
      <alignment horizontal="left" vertical="center" wrapText="1"/>
      <protection hidden="1"/>
    </xf>
    <xf numFmtId="0" fontId="49" fillId="0" borderId="16" xfId="0" applyFont="1" applyFill="1" applyBorder="1" applyAlignment="1" applyProtection="1">
      <alignment horizontal="left" vertical="center" wrapText="1"/>
      <protection hidden="1"/>
    </xf>
    <xf numFmtId="0" fontId="49" fillId="0" borderId="20" xfId="0" applyFont="1" applyFill="1" applyBorder="1" applyAlignment="1" applyProtection="1">
      <alignment horizontal="left" vertical="center" wrapText="1"/>
      <protection hidden="1"/>
    </xf>
    <xf numFmtId="0" fontId="49" fillId="0" borderId="0" xfId="0" applyFont="1" applyFill="1" applyBorder="1" applyAlignment="1" applyProtection="1">
      <alignment horizontal="left" vertical="center" wrapText="1"/>
      <protection hidden="1"/>
    </xf>
    <xf numFmtId="0" fontId="49" fillId="0" borderId="21" xfId="0" applyFont="1" applyFill="1" applyBorder="1" applyAlignment="1" applyProtection="1">
      <alignment horizontal="left" vertical="center" wrapText="1"/>
      <protection hidden="1"/>
    </xf>
    <xf numFmtId="0" fontId="30" fillId="13" borderId="14" xfId="0" applyFont="1" applyFill="1" applyBorder="1" applyAlignment="1" applyProtection="1">
      <alignment horizontal="center" vertical="center" wrapText="1"/>
      <protection hidden="1"/>
    </xf>
    <xf numFmtId="0" fontId="30" fillId="13" borderId="15" xfId="0" applyFont="1" applyFill="1" applyBorder="1" applyAlignment="1" applyProtection="1">
      <alignment horizontal="center" vertical="center" wrapText="1"/>
      <protection hidden="1"/>
    </xf>
    <xf numFmtId="0" fontId="30" fillId="13" borderId="16" xfId="0" applyFont="1" applyFill="1" applyBorder="1" applyAlignment="1" applyProtection="1">
      <alignment horizontal="center" vertical="center" wrapText="1"/>
      <protection hidden="1"/>
    </xf>
    <xf numFmtId="0" fontId="30" fillId="13" borderId="17" xfId="0" applyFont="1" applyFill="1" applyBorder="1" applyAlignment="1" applyProtection="1">
      <alignment horizontal="center" vertical="center" wrapText="1"/>
      <protection hidden="1"/>
    </xf>
    <xf numFmtId="0" fontId="30" fillId="13" borderId="18" xfId="0" applyFont="1" applyFill="1" applyBorder="1" applyAlignment="1" applyProtection="1">
      <alignment horizontal="center" vertical="center" wrapText="1"/>
      <protection hidden="1"/>
    </xf>
    <xf numFmtId="0" fontId="30" fillId="13" borderId="19" xfId="0" applyFont="1" applyFill="1" applyBorder="1" applyAlignment="1" applyProtection="1">
      <alignment horizontal="center" vertical="center" wrapText="1"/>
      <protection hidden="1"/>
    </xf>
    <xf numFmtId="0" fontId="22" fillId="22" borderId="14" xfId="0" applyFont="1" applyFill="1" applyBorder="1" applyAlignment="1" applyProtection="1">
      <alignment horizontal="center" vertical="center"/>
      <protection hidden="1"/>
    </xf>
    <xf numFmtId="0" fontId="22" fillId="22" borderId="15" xfId="0" applyFont="1" applyFill="1" applyBorder="1" applyAlignment="1" applyProtection="1">
      <alignment horizontal="center" vertical="center"/>
      <protection hidden="1"/>
    </xf>
    <xf numFmtId="0" fontId="22" fillId="22" borderId="16" xfId="0" applyFont="1" applyFill="1" applyBorder="1" applyAlignment="1" applyProtection="1">
      <alignment horizontal="center" vertical="center"/>
      <protection hidden="1"/>
    </xf>
    <xf numFmtId="0" fontId="30" fillId="38" borderId="15" xfId="0" applyFont="1" applyFill="1" applyBorder="1" applyAlignment="1" applyProtection="1">
      <alignment horizontal="center" vertical="center" wrapText="1"/>
      <protection hidden="1"/>
    </xf>
    <xf numFmtId="0" fontId="30" fillId="38" borderId="16" xfId="0" applyFont="1" applyFill="1" applyBorder="1" applyAlignment="1" applyProtection="1">
      <alignment horizontal="center" vertical="center" wrapText="1"/>
      <protection hidden="1"/>
    </xf>
    <xf numFmtId="0" fontId="30" fillId="38" borderId="18" xfId="0" applyFont="1" applyFill="1" applyBorder="1" applyAlignment="1" applyProtection="1">
      <alignment horizontal="center" vertical="center" wrapText="1"/>
      <protection hidden="1"/>
    </xf>
    <xf numFmtId="0" fontId="30" fillId="38" borderId="19" xfId="0" applyFont="1" applyFill="1" applyBorder="1" applyAlignment="1" applyProtection="1">
      <alignment horizontal="center" vertical="center" wrapText="1"/>
      <protection hidden="1"/>
    </xf>
    <xf numFmtId="0" fontId="22" fillId="18" borderId="20" xfId="0" applyFont="1" applyFill="1" applyBorder="1" applyAlignment="1" applyProtection="1">
      <alignment horizontal="center" vertical="center"/>
      <protection hidden="1"/>
    </xf>
    <xf numFmtId="0" fontId="22" fillId="18" borderId="0" xfId="0" applyFont="1" applyFill="1" applyBorder="1" applyAlignment="1" applyProtection="1">
      <alignment horizontal="center" vertical="center"/>
      <protection hidden="1"/>
    </xf>
    <xf numFmtId="0" fontId="22" fillId="18" borderId="21" xfId="0" applyFont="1" applyFill="1" applyBorder="1" applyAlignment="1" applyProtection="1">
      <alignment horizontal="center" vertical="center"/>
      <protection hidden="1"/>
    </xf>
    <xf numFmtId="0" fontId="22" fillId="18" borderId="14" xfId="0" applyFont="1" applyFill="1" applyBorder="1" applyAlignment="1" applyProtection="1">
      <alignment horizontal="center" vertical="center"/>
      <protection hidden="1"/>
    </xf>
    <xf numFmtId="0" fontId="22" fillId="18" borderId="15" xfId="0" applyFont="1" applyFill="1" applyBorder="1" applyAlignment="1" applyProtection="1">
      <alignment horizontal="center" vertical="center"/>
      <protection hidden="1"/>
    </xf>
    <xf numFmtId="0" fontId="22" fillId="18" borderId="16" xfId="0" applyFont="1" applyFill="1" applyBorder="1" applyAlignment="1" applyProtection="1">
      <alignment horizontal="center" vertical="center"/>
      <protection hidden="1"/>
    </xf>
    <xf numFmtId="0" fontId="45" fillId="39" borderId="14" xfId="0" applyFont="1" applyFill="1" applyBorder="1" applyAlignment="1" applyProtection="1">
      <alignment horizontal="center" vertical="center" wrapText="1"/>
      <protection hidden="1"/>
    </xf>
    <xf numFmtId="0" fontId="45" fillId="39" borderId="15" xfId="0" applyFont="1" applyFill="1" applyBorder="1" applyAlignment="1" applyProtection="1">
      <alignment horizontal="center" vertical="center" wrapText="1"/>
      <protection hidden="1"/>
    </xf>
    <xf numFmtId="0" fontId="45" fillId="39" borderId="16" xfId="0" applyFont="1" applyFill="1" applyBorder="1" applyAlignment="1" applyProtection="1">
      <alignment horizontal="center" vertical="center" wrapText="1"/>
      <protection hidden="1"/>
    </xf>
    <xf numFmtId="0" fontId="45" fillId="39" borderId="17" xfId="0" applyFont="1" applyFill="1" applyBorder="1" applyAlignment="1" applyProtection="1">
      <alignment horizontal="center" vertical="center" wrapText="1"/>
      <protection hidden="1"/>
    </xf>
    <xf numFmtId="0" fontId="45" fillId="39" borderId="18" xfId="0" applyFont="1" applyFill="1" applyBorder="1" applyAlignment="1" applyProtection="1">
      <alignment horizontal="center" vertical="center" wrapText="1"/>
      <protection hidden="1"/>
    </xf>
    <xf numFmtId="0" fontId="45" fillId="39" borderId="19" xfId="0" applyFont="1" applyFill="1" applyBorder="1" applyAlignment="1" applyProtection="1">
      <alignment horizontal="center" vertical="center" wrapText="1"/>
      <protection hidden="1"/>
    </xf>
    <xf numFmtId="0" fontId="30" fillId="43" borderId="14" xfId="0" applyFont="1" applyFill="1" applyBorder="1" applyAlignment="1" applyProtection="1">
      <alignment horizontal="center" vertical="center" wrapText="1"/>
      <protection hidden="1"/>
    </xf>
    <xf numFmtId="0" fontId="30" fillId="43" borderId="15" xfId="0" applyFont="1" applyFill="1" applyBorder="1" applyAlignment="1" applyProtection="1">
      <alignment horizontal="center" vertical="center" wrapText="1"/>
      <protection hidden="1"/>
    </xf>
    <xf numFmtId="0" fontId="30" fillId="43" borderId="16" xfId="0" applyFont="1" applyFill="1" applyBorder="1" applyAlignment="1" applyProtection="1">
      <alignment horizontal="center" vertical="center" wrapText="1"/>
      <protection hidden="1"/>
    </xf>
    <xf numFmtId="0" fontId="30" fillId="43" borderId="17" xfId="0" applyFont="1" applyFill="1" applyBorder="1" applyAlignment="1" applyProtection="1">
      <alignment horizontal="center" vertical="center" wrapText="1"/>
      <protection hidden="1"/>
    </xf>
    <xf numFmtId="0" fontId="30" fillId="43" borderId="18" xfId="0" applyFont="1" applyFill="1" applyBorder="1" applyAlignment="1" applyProtection="1">
      <alignment horizontal="center" vertical="center" wrapText="1"/>
      <protection hidden="1"/>
    </xf>
    <xf numFmtId="0" fontId="30" fillId="43" borderId="19" xfId="0" applyFont="1" applyFill="1" applyBorder="1" applyAlignment="1" applyProtection="1">
      <alignment horizontal="center" vertical="center" wrapText="1"/>
      <protection hidden="1"/>
    </xf>
    <xf numFmtId="0" fontId="25" fillId="26" borderId="11" xfId="0" applyFont="1" applyFill="1" applyBorder="1" applyAlignment="1" applyProtection="1">
      <alignment horizontal="center" vertical="center"/>
      <protection hidden="1"/>
    </xf>
    <xf numFmtId="0" fontId="25" fillId="26" borderId="13" xfId="0" applyFont="1" applyFill="1" applyBorder="1" applyAlignment="1" applyProtection="1">
      <alignment horizontal="center" vertical="center"/>
      <protection hidden="1"/>
    </xf>
    <xf numFmtId="0" fontId="22" fillId="31" borderId="20" xfId="0" applyFont="1" applyFill="1" applyBorder="1" applyAlignment="1" applyProtection="1">
      <alignment horizontal="center" vertical="center" wrapText="1"/>
      <protection hidden="1"/>
    </xf>
    <xf numFmtId="0" fontId="22" fillId="31" borderId="0" xfId="0" applyFont="1" applyFill="1" applyBorder="1" applyAlignment="1" applyProtection="1">
      <alignment horizontal="center" vertical="center" wrapText="1"/>
      <protection hidden="1"/>
    </xf>
    <xf numFmtId="0" fontId="22" fillId="31" borderId="21" xfId="0" applyFont="1" applyFill="1" applyBorder="1" applyAlignment="1" applyProtection="1">
      <alignment horizontal="center" vertical="center" wrapText="1"/>
      <protection hidden="1"/>
    </xf>
    <xf numFmtId="0" fontId="22" fillId="31" borderId="17" xfId="0" applyFont="1" applyFill="1" applyBorder="1" applyAlignment="1" applyProtection="1">
      <alignment horizontal="center" vertical="center" wrapText="1"/>
      <protection hidden="1"/>
    </xf>
    <xf numFmtId="0" fontId="22" fillId="31" borderId="18" xfId="0" applyFont="1" applyFill="1" applyBorder="1" applyAlignment="1" applyProtection="1">
      <alignment horizontal="center" vertical="center" wrapText="1"/>
      <protection hidden="1"/>
    </xf>
    <xf numFmtId="0" fontId="22" fillId="31" borderId="19" xfId="0" applyFont="1" applyFill="1" applyBorder="1" applyAlignment="1" applyProtection="1">
      <alignment horizontal="center" vertical="center" wrapText="1"/>
      <protection hidden="1"/>
    </xf>
    <xf numFmtId="0" fontId="24" fillId="45" borderId="11" xfId="0" applyFont="1" applyFill="1" applyBorder="1" applyAlignment="1" applyProtection="1">
      <alignment horizontal="center" vertical="center"/>
      <protection hidden="1"/>
    </xf>
    <xf numFmtId="0" fontId="24" fillId="45" borderId="13" xfId="0" applyFont="1" applyFill="1" applyBorder="1" applyAlignment="1" applyProtection="1">
      <alignment horizontal="center" vertical="center"/>
      <protection hidden="1"/>
    </xf>
    <xf numFmtId="0" fontId="24" fillId="15" borderId="11" xfId="0" applyFont="1" applyFill="1" applyBorder="1" applyAlignment="1" applyProtection="1">
      <alignment horizontal="center" vertical="center"/>
      <protection hidden="1"/>
    </xf>
    <xf numFmtId="0" fontId="24" fillId="15" borderId="12" xfId="0" applyFont="1" applyFill="1" applyBorder="1" applyAlignment="1" applyProtection="1">
      <alignment horizontal="center" vertical="center"/>
      <protection hidden="1"/>
    </xf>
    <xf numFmtId="0" fontId="24" fillId="15" borderId="13" xfId="0" applyFont="1" applyFill="1" applyBorder="1" applyAlignment="1" applyProtection="1">
      <alignment horizontal="center" vertical="center"/>
      <protection hidden="1"/>
    </xf>
    <xf numFmtId="0" fontId="22" fillId="16" borderId="14" xfId="0" applyFont="1" applyFill="1" applyBorder="1" applyAlignment="1" applyProtection="1">
      <alignment horizontal="center" vertical="center" wrapText="1"/>
      <protection hidden="1"/>
    </xf>
    <xf numFmtId="0" fontId="22" fillId="16" borderId="15" xfId="0" applyFont="1" applyFill="1" applyBorder="1" applyAlignment="1" applyProtection="1">
      <alignment horizontal="center" vertical="center" wrapText="1"/>
      <protection hidden="1"/>
    </xf>
    <xf numFmtId="0" fontId="22" fillId="16" borderId="16" xfId="0" applyFont="1" applyFill="1" applyBorder="1" applyAlignment="1" applyProtection="1">
      <alignment horizontal="center" vertical="center" wrapText="1"/>
      <protection hidden="1"/>
    </xf>
    <xf numFmtId="0" fontId="22" fillId="16" borderId="17" xfId="0" applyFont="1" applyFill="1" applyBorder="1" applyAlignment="1" applyProtection="1">
      <alignment horizontal="center" vertical="center" wrapText="1"/>
      <protection hidden="1"/>
    </xf>
    <xf numFmtId="0" fontId="22" fillId="16" borderId="18" xfId="0" applyFont="1" applyFill="1" applyBorder="1" applyAlignment="1" applyProtection="1">
      <alignment horizontal="center" vertical="center" wrapText="1"/>
      <protection hidden="1"/>
    </xf>
    <xf numFmtId="0" fontId="22" fillId="16" borderId="19" xfId="0" applyFont="1" applyFill="1" applyBorder="1" applyAlignment="1" applyProtection="1">
      <alignment horizontal="center" vertical="center" wrapText="1"/>
      <protection hidden="1"/>
    </xf>
    <xf numFmtId="0" fontId="24" fillId="2" borderId="11" xfId="0" applyFont="1" applyFill="1" applyBorder="1" applyAlignment="1" applyProtection="1">
      <alignment horizontal="center" vertical="center"/>
      <protection hidden="1"/>
    </xf>
    <xf numFmtId="0" fontId="24" fillId="2" borderId="13" xfId="0" applyFont="1" applyFill="1" applyBorder="1" applyAlignment="1" applyProtection="1">
      <alignment horizontal="center" vertical="center"/>
      <protection hidden="1"/>
    </xf>
    <xf numFmtId="0" fontId="24" fillId="11" borderId="11" xfId="0" applyFont="1" applyFill="1" applyBorder="1" applyAlignment="1" applyProtection="1">
      <alignment horizontal="center" vertical="center"/>
      <protection hidden="1"/>
    </xf>
    <xf numFmtId="0" fontId="24" fillId="11" borderId="12" xfId="0" applyFont="1" applyFill="1" applyBorder="1" applyAlignment="1" applyProtection="1">
      <alignment horizontal="center" vertical="center"/>
      <protection hidden="1"/>
    </xf>
    <xf numFmtId="0" fontId="24" fillId="11" borderId="13" xfId="0" applyFont="1" applyFill="1" applyBorder="1" applyAlignment="1" applyProtection="1">
      <alignment horizontal="center" vertical="center"/>
      <protection hidden="1"/>
    </xf>
    <xf numFmtId="0" fontId="24" fillId="17" borderId="11" xfId="0" applyFont="1" applyFill="1" applyBorder="1" applyAlignment="1" applyProtection="1">
      <alignment horizontal="center" vertical="center"/>
      <protection hidden="1"/>
    </xf>
    <xf numFmtId="0" fontId="24" fillId="17" borderId="12" xfId="0" applyFont="1" applyFill="1" applyBorder="1" applyAlignment="1" applyProtection="1">
      <alignment horizontal="center" vertical="center"/>
      <protection hidden="1"/>
    </xf>
    <xf numFmtId="0" fontId="22" fillId="13" borderId="11" xfId="0" applyFont="1" applyFill="1" applyBorder="1" applyAlignment="1" applyProtection="1">
      <alignment horizontal="center" vertical="center"/>
      <protection hidden="1"/>
    </xf>
    <xf numFmtId="0" fontId="22" fillId="13" borderId="12" xfId="0" applyFont="1" applyFill="1" applyBorder="1" applyAlignment="1" applyProtection="1">
      <alignment horizontal="center" vertical="center"/>
      <protection hidden="1"/>
    </xf>
    <xf numFmtId="0" fontId="22" fillId="13" borderId="13" xfId="0" applyFont="1" applyFill="1" applyBorder="1" applyAlignment="1" applyProtection="1">
      <alignment horizontal="center" vertical="center"/>
      <protection hidden="1"/>
    </xf>
    <xf numFmtId="0" fontId="22" fillId="18" borderId="12" xfId="0" applyFont="1" applyFill="1" applyBorder="1" applyAlignment="1" applyProtection="1">
      <alignment horizontal="center" vertical="center"/>
      <protection hidden="1"/>
    </xf>
    <xf numFmtId="0" fontId="22" fillId="18" borderId="11" xfId="0" applyFont="1" applyFill="1" applyBorder="1" applyAlignment="1" applyProtection="1">
      <alignment horizontal="center" vertical="center"/>
      <protection hidden="1"/>
    </xf>
    <xf numFmtId="0" fontId="22" fillId="18" borderId="13" xfId="0" applyFont="1" applyFill="1" applyBorder="1" applyAlignment="1" applyProtection="1">
      <alignment horizontal="center" vertical="center"/>
      <protection hidden="1"/>
    </xf>
    <xf numFmtId="0" fontId="24" fillId="32" borderId="11" xfId="0" applyFont="1" applyFill="1" applyBorder="1" applyAlignment="1" applyProtection="1">
      <alignment horizontal="center" vertical="center"/>
      <protection hidden="1"/>
    </xf>
    <xf numFmtId="0" fontId="24" fillId="32" borderId="12" xfId="0" applyFont="1" applyFill="1" applyBorder="1" applyAlignment="1" applyProtection="1">
      <alignment horizontal="center" vertical="center"/>
      <protection hidden="1"/>
    </xf>
    <xf numFmtId="0" fontId="24" fillId="32" borderId="13" xfId="0" applyFont="1" applyFill="1" applyBorder="1" applyAlignment="1" applyProtection="1">
      <alignment horizontal="center" vertical="center"/>
      <protection hidden="1"/>
    </xf>
    <xf numFmtId="0" fontId="24" fillId="0" borderId="11" xfId="0" applyFont="1" applyFill="1" applyBorder="1" applyAlignment="1" applyProtection="1">
      <alignment horizontal="center" vertical="center" wrapText="1"/>
      <protection hidden="1"/>
    </xf>
    <xf numFmtId="0" fontId="24" fillId="0" borderId="13" xfId="0" applyFont="1" applyFill="1" applyBorder="1" applyAlignment="1" applyProtection="1">
      <alignment horizontal="center" vertical="center" wrapText="1"/>
      <protection hidden="1"/>
    </xf>
    <xf numFmtId="0" fontId="24" fillId="11" borderId="10" xfId="0" applyFont="1" applyFill="1" applyBorder="1" applyAlignment="1" applyProtection="1">
      <alignment horizontal="center" vertical="center"/>
      <protection hidden="1"/>
    </xf>
    <xf numFmtId="0" fontId="24" fillId="17" borderId="10" xfId="0" applyFont="1" applyFill="1" applyBorder="1" applyAlignment="1" applyProtection="1">
      <alignment horizontal="center" vertical="center"/>
      <protection hidden="1"/>
    </xf>
    <xf numFmtId="0" fontId="22" fillId="16" borderId="10" xfId="0" applyFont="1" applyFill="1" applyBorder="1" applyAlignment="1" applyProtection="1">
      <alignment horizontal="center" vertical="center" wrapText="1"/>
      <protection hidden="1"/>
    </xf>
    <xf numFmtId="0" fontId="22" fillId="14" borderId="10" xfId="0" applyFont="1" applyFill="1" applyBorder="1" applyAlignment="1" applyProtection="1">
      <alignment horizontal="center" vertical="center"/>
      <protection hidden="1"/>
    </xf>
    <xf numFmtId="0" fontId="24" fillId="9" borderId="10" xfId="0" applyFont="1" applyFill="1" applyBorder="1" applyAlignment="1" applyProtection="1">
      <alignment horizontal="center" vertical="center"/>
      <protection hidden="1"/>
    </xf>
    <xf numFmtId="0" fontId="22" fillId="31" borderId="10" xfId="0" applyFont="1" applyFill="1" applyBorder="1" applyAlignment="1" applyProtection="1">
      <alignment horizontal="center" vertical="center" wrapText="1"/>
      <protection hidden="1"/>
    </xf>
    <xf numFmtId="0" fontId="22" fillId="25" borderId="14" xfId="0" applyFont="1" applyFill="1" applyBorder="1" applyAlignment="1" applyProtection="1">
      <alignment horizontal="center" vertical="center"/>
      <protection hidden="1"/>
    </xf>
    <xf numFmtId="0" fontId="22" fillId="25" borderId="16" xfId="0" applyFont="1" applyFill="1" applyBorder="1" applyAlignment="1" applyProtection="1">
      <alignment horizontal="center" vertical="center"/>
      <protection hidden="1"/>
    </xf>
    <xf numFmtId="0" fontId="22" fillId="24" borderId="14" xfId="0" applyFont="1" applyFill="1" applyBorder="1" applyAlignment="1" applyProtection="1">
      <alignment horizontal="center" vertical="center"/>
      <protection hidden="1"/>
    </xf>
    <xf numFmtId="0" fontId="22" fillId="24" borderId="16" xfId="0" applyFont="1" applyFill="1" applyBorder="1" applyAlignment="1" applyProtection="1">
      <alignment horizontal="center" vertical="center"/>
      <protection hidden="1"/>
    </xf>
    <xf numFmtId="0" fontId="22" fillId="13" borderId="14" xfId="0" applyFont="1" applyFill="1" applyBorder="1" applyAlignment="1" applyProtection="1">
      <alignment horizontal="center" vertical="center"/>
      <protection hidden="1"/>
    </xf>
    <xf numFmtId="0" fontId="22" fillId="13" borderId="16" xfId="0" applyFont="1" applyFill="1" applyBorder="1" applyAlignment="1" applyProtection="1">
      <alignment horizontal="center" vertical="center"/>
      <protection hidden="1"/>
    </xf>
    <xf numFmtId="0" fontId="24" fillId="23" borderId="14" xfId="0" applyFont="1" applyFill="1" applyBorder="1" applyAlignment="1" applyProtection="1">
      <alignment horizontal="center" vertical="center"/>
      <protection hidden="1"/>
    </xf>
    <xf numFmtId="0" fontId="24" fillId="23" borderId="16" xfId="0" applyFont="1" applyFill="1" applyBorder="1" applyAlignment="1" applyProtection="1">
      <alignment horizontal="center" vertical="center"/>
      <protection hidden="1"/>
    </xf>
    <xf numFmtId="0" fontId="31" fillId="26" borderId="14" xfId="0" applyFont="1" applyFill="1" applyBorder="1" applyAlignment="1" applyProtection="1">
      <alignment horizontal="center" vertical="center" wrapText="1"/>
      <protection hidden="1"/>
    </xf>
    <xf numFmtId="0" fontId="31" fillId="26" borderId="15" xfId="0" applyFont="1" applyFill="1" applyBorder="1" applyAlignment="1" applyProtection="1">
      <alignment horizontal="center" vertical="center" wrapText="1"/>
      <protection hidden="1"/>
    </xf>
    <xf numFmtId="0" fontId="31" fillId="26" borderId="16" xfId="0" applyFont="1" applyFill="1" applyBorder="1" applyAlignment="1" applyProtection="1">
      <alignment horizontal="center" vertical="center" wrapText="1"/>
      <protection hidden="1"/>
    </xf>
    <xf numFmtId="0" fontId="31" fillId="26" borderId="17" xfId="0" applyFont="1" applyFill="1" applyBorder="1" applyAlignment="1" applyProtection="1">
      <alignment horizontal="center" vertical="center" wrapText="1"/>
      <protection hidden="1"/>
    </xf>
    <xf numFmtId="0" fontId="31" fillId="26" borderId="18" xfId="0" applyFont="1" applyFill="1" applyBorder="1" applyAlignment="1" applyProtection="1">
      <alignment horizontal="center" vertical="center" wrapText="1"/>
      <protection hidden="1"/>
    </xf>
    <xf numFmtId="0" fontId="31" fillId="26" borderId="19" xfId="0" applyFont="1" applyFill="1" applyBorder="1" applyAlignment="1" applyProtection="1">
      <alignment horizontal="center" vertical="center" wrapText="1"/>
      <protection hidden="1"/>
    </xf>
    <xf numFmtId="0" fontId="25" fillId="6" borderId="11" xfId="0" applyFont="1" applyFill="1" applyBorder="1" applyAlignment="1" applyProtection="1">
      <alignment horizontal="center" vertical="center"/>
      <protection hidden="1"/>
    </xf>
    <xf numFmtId="0" fontId="25" fillId="6" borderId="12" xfId="0" applyFont="1" applyFill="1" applyBorder="1" applyAlignment="1" applyProtection="1">
      <alignment horizontal="center" vertical="center"/>
      <protection hidden="1"/>
    </xf>
    <xf numFmtId="0" fontId="25" fillId="6" borderId="13" xfId="0" applyFont="1" applyFill="1" applyBorder="1" applyAlignment="1" applyProtection="1">
      <alignment horizontal="center" vertical="center"/>
      <protection hidden="1"/>
    </xf>
    <xf numFmtId="0" fontId="22" fillId="22" borderId="11" xfId="0" applyFont="1" applyFill="1" applyBorder="1" applyAlignment="1" applyProtection="1">
      <alignment horizontal="center" vertical="center"/>
      <protection hidden="1"/>
    </xf>
    <xf numFmtId="0" fontId="22" fillId="22" borderId="12" xfId="0" applyFont="1" applyFill="1" applyBorder="1" applyAlignment="1" applyProtection="1">
      <alignment horizontal="center" vertical="center"/>
      <protection hidden="1"/>
    </xf>
    <xf numFmtId="0" fontId="22" fillId="22" borderId="13" xfId="0" applyFont="1" applyFill="1" applyBorder="1" applyAlignment="1" applyProtection="1">
      <alignment horizontal="center" vertical="center"/>
      <protection hidden="1"/>
    </xf>
    <xf numFmtId="0" fontId="25" fillId="21" borderId="11" xfId="0" applyFont="1" applyFill="1" applyBorder="1" applyAlignment="1" applyProtection="1">
      <alignment horizontal="center" vertical="center"/>
      <protection hidden="1"/>
    </xf>
    <xf numFmtId="0" fontId="25" fillId="21" borderId="12" xfId="0" applyFont="1" applyFill="1" applyBorder="1" applyAlignment="1" applyProtection="1">
      <alignment horizontal="center" vertical="center"/>
      <protection hidden="1"/>
    </xf>
    <xf numFmtId="0" fontId="25" fillId="21" borderId="13" xfId="0" applyFont="1" applyFill="1" applyBorder="1" applyAlignment="1" applyProtection="1">
      <alignment horizontal="center" vertical="center"/>
      <protection hidden="1"/>
    </xf>
    <xf numFmtId="0" fontId="22" fillId="27" borderId="11" xfId="0" applyFont="1" applyFill="1" applyBorder="1" applyAlignment="1" applyProtection="1">
      <alignment horizontal="center" vertical="center"/>
      <protection hidden="1"/>
    </xf>
    <xf numFmtId="0" fontId="22" fillId="27" borderId="12" xfId="0" applyFont="1" applyFill="1" applyBorder="1" applyAlignment="1" applyProtection="1">
      <alignment horizontal="center" vertical="center"/>
      <protection hidden="1"/>
    </xf>
    <xf numFmtId="0" fontId="22" fillId="27" borderId="13" xfId="0" applyFont="1" applyFill="1" applyBorder="1" applyAlignment="1" applyProtection="1">
      <alignment horizontal="center" vertical="center"/>
      <protection hidden="1"/>
    </xf>
    <xf numFmtId="0" fontId="22" fillId="18" borderId="17" xfId="0" applyFont="1" applyFill="1" applyBorder="1" applyAlignment="1" applyProtection="1">
      <alignment horizontal="center" vertical="center"/>
      <protection hidden="1"/>
    </xf>
    <xf numFmtId="0" fontId="22" fillId="18" borderId="18" xfId="0" applyFont="1" applyFill="1" applyBorder="1" applyAlignment="1" applyProtection="1">
      <alignment horizontal="center" vertical="center"/>
      <protection hidden="1"/>
    </xf>
    <xf numFmtId="0" fontId="22" fillId="18" borderId="19" xfId="0" applyFont="1" applyFill="1" applyBorder="1" applyAlignment="1" applyProtection="1">
      <alignment horizontal="center" vertical="center"/>
      <protection hidden="1"/>
    </xf>
    <xf numFmtId="0" fontId="24" fillId="12" borderId="14" xfId="0" applyFont="1" applyFill="1" applyBorder="1" applyAlignment="1" applyProtection="1">
      <alignment horizontal="center" vertical="center"/>
      <protection hidden="1"/>
    </xf>
    <xf numFmtId="0" fontId="24" fillId="12" borderId="15" xfId="0" applyFont="1" applyFill="1" applyBorder="1" applyAlignment="1" applyProtection="1">
      <alignment horizontal="center" vertical="center"/>
      <protection hidden="1"/>
    </xf>
    <xf numFmtId="0" fontId="24" fillId="12" borderId="16" xfId="0" applyFont="1" applyFill="1" applyBorder="1" applyAlignment="1" applyProtection="1">
      <alignment horizontal="center" vertical="center"/>
      <protection hidden="1"/>
    </xf>
    <xf numFmtId="0" fontId="21" fillId="12" borderId="17" xfId="0" applyFont="1" applyFill="1" applyBorder="1" applyAlignment="1" applyProtection="1">
      <alignment horizontal="center" vertical="center"/>
      <protection hidden="1"/>
    </xf>
    <xf numFmtId="0" fontId="21" fillId="12" borderId="18" xfId="0" applyFont="1" applyFill="1" applyBorder="1" applyAlignment="1" applyProtection="1">
      <alignment horizontal="center" vertical="center"/>
      <protection hidden="1"/>
    </xf>
    <xf numFmtId="0" fontId="21" fillId="12" borderId="19" xfId="0" applyFont="1" applyFill="1" applyBorder="1" applyAlignment="1" applyProtection="1">
      <alignment horizontal="center" vertical="center"/>
      <protection hidden="1"/>
    </xf>
    <xf numFmtId="0" fontId="22" fillId="14" borderId="0" xfId="0" applyFont="1" applyFill="1" applyBorder="1" applyAlignment="1" applyProtection="1">
      <alignment horizontal="center" vertical="center" wrapText="1"/>
      <protection hidden="1"/>
    </xf>
    <xf numFmtId="0" fontId="22" fillId="14" borderId="21" xfId="0" applyFont="1" applyFill="1" applyBorder="1" applyAlignment="1" applyProtection="1">
      <alignment horizontal="center" vertical="center" wrapText="1"/>
      <protection hidden="1"/>
    </xf>
    <xf numFmtId="0" fontId="22" fillId="14" borderId="18" xfId="0" applyFont="1" applyFill="1" applyBorder="1" applyAlignment="1" applyProtection="1">
      <alignment horizontal="center" vertical="center" wrapText="1"/>
      <protection hidden="1"/>
    </xf>
    <xf numFmtId="0" fontId="22" fillId="14" borderId="19" xfId="0" applyFont="1" applyFill="1" applyBorder="1" applyAlignment="1" applyProtection="1">
      <alignment horizontal="center" vertical="center" wrapText="1"/>
      <protection hidden="1"/>
    </xf>
    <xf numFmtId="0" fontId="24" fillId="9" borderId="20" xfId="0" applyFont="1" applyFill="1" applyBorder="1" applyAlignment="1" applyProtection="1">
      <alignment horizontal="center" vertical="center" wrapText="1"/>
      <protection hidden="1"/>
    </xf>
    <xf numFmtId="0" fontId="24" fillId="9" borderId="0" xfId="0" applyFont="1" applyFill="1" applyBorder="1" applyAlignment="1" applyProtection="1">
      <alignment horizontal="center" vertical="center" wrapText="1"/>
      <protection hidden="1"/>
    </xf>
    <xf numFmtId="0" fontId="24" fillId="9" borderId="21" xfId="0" applyFont="1" applyFill="1" applyBorder="1" applyAlignment="1" applyProtection="1">
      <alignment horizontal="center" vertical="center" wrapText="1"/>
      <protection hidden="1"/>
    </xf>
    <xf numFmtId="0" fontId="24" fillId="9" borderId="17" xfId="0" applyFont="1" applyFill="1" applyBorder="1" applyAlignment="1" applyProtection="1">
      <alignment horizontal="center" vertical="center" wrapText="1"/>
      <protection hidden="1"/>
    </xf>
    <xf numFmtId="0" fontId="24" fillId="9" borderId="18" xfId="0" applyFont="1" applyFill="1" applyBorder="1" applyAlignment="1" applyProtection="1">
      <alignment horizontal="center" vertical="center" wrapText="1"/>
      <protection hidden="1"/>
    </xf>
    <xf numFmtId="0" fontId="24" fillId="9" borderId="19" xfId="0" applyFont="1" applyFill="1" applyBorder="1" applyAlignment="1" applyProtection="1">
      <alignment horizontal="center" vertical="center" wrapText="1"/>
      <protection hidden="1"/>
    </xf>
    <xf numFmtId="0" fontId="24" fillId="0" borderId="12" xfId="0" applyFont="1" applyFill="1" applyBorder="1" applyAlignment="1" applyProtection="1">
      <alignment horizontal="center" vertical="center" wrapText="1"/>
      <protection hidden="1"/>
    </xf>
    <xf numFmtId="0" fontId="22" fillId="24" borderId="11" xfId="0" applyFont="1" applyFill="1" applyBorder="1" applyAlignment="1" applyProtection="1">
      <alignment horizontal="center" vertical="center"/>
      <protection hidden="1"/>
    </xf>
    <xf numFmtId="0" fontId="22" fillId="24" borderId="12" xfId="0" applyFont="1" applyFill="1" applyBorder="1" applyAlignment="1" applyProtection="1">
      <alignment horizontal="center" vertical="center"/>
      <protection hidden="1"/>
    </xf>
    <xf numFmtId="0" fontId="22" fillId="24" borderId="13" xfId="0" applyFont="1" applyFill="1" applyBorder="1" applyAlignment="1" applyProtection="1">
      <alignment horizontal="center" vertical="center"/>
      <protection hidden="1"/>
    </xf>
    <xf numFmtId="0" fontId="33" fillId="33" borderId="14" xfId="0" applyFont="1" applyFill="1" applyBorder="1" applyAlignment="1" applyProtection="1">
      <alignment horizontal="center" vertical="center" wrapText="1"/>
      <protection hidden="1"/>
    </xf>
    <xf numFmtId="0" fontId="33" fillId="33" borderId="16" xfId="0" applyFont="1" applyFill="1" applyBorder="1" applyAlignment="1" applyProtection="1">
      <alignment horizontal="center" vertical="center" wrapText="1"/>
      <protection hidden="1"/>
    </xf>
    <xf numFmtId="0" fontId="33" fillId="33" borderId="17" xfId="0" applyFont="1" applyFill="1" applyBorder="1" applyAlignment="1" applyProtection="1">
      <alignment horizontal="center" vertical="center" wrapText="1"/>
      <protection hidden="1"/>
    </xf>
    <xf numFmtId="0" fontId="33" fillId="33" borderId="19" xfId="0" applyFont="1" applyFill="1" applyBorder="1" applyAlignment="1" applyProtection="1">
      <alignment horizontal="center" vertical="center" wrapText="1"/>
      <protection hidden="1"/>
    </xf>
    <xf numFmtId="0" fontId="30" fillId="28" borderId="14" xfId="0" applyFont="1" applyFill="1" applyBorder="1" applyAlignment="1" applyProtection="1">
      <alignment horizontal="center" vertical="center" wrapText="1"/>
      <protection hidden="1"/>
    </xf>
    <xf numFmtId="0" fontId="30" fillId="28" borderId="15" xfId="0" applyFont="1" applyFill="1" applyBorder="1" applyAlignment="1" applyProtection="1">
      <alignment horizontal="center" vertical="center" wrapText="1"/>
      <protection hidden="1"/>
    </xf>
    <xf numFmtId="0" fontId="30" fillId="28" borderId="16" xfId="0" applyFont="1" applyFill="1" applyBorder="1" applyAlignment="1" applyProtection="1">
      <alignment horizontal="center" vertical="center" wrapText="1"/>
      <protection hidden="1"/>
    </xf>
    <xf numFmtId="0" fontId="30" fillId="28" borderId="17" xfId="0" applyFont="1" applyFill="1" applyBorder="1" applyAlignment="1" applyProtection="1">
      <alignment horizontal="center" vertical="center" wrapText="1"/>
      <protection hidden="1"/>
    </xf>
    <xf numFmtId="0" fontId="30" fillId="28" borderId="18" xfId="0" applyFont="1" applyFill="1" applyBorder="1" applyAlignment="1" applyProtection="1">
      <alignment horizontal="center" vertical="center" wrapText="1"/>
      <protection hidden="1"/>
    </xf>
    <xf numFmtId="0" fontId="30" fillId="28" borderId="19" xfId="0" applyFont="1" applyFill="1" applyBorder="1" applyAlignment="1" applyProtection="1">
      <alignment horizontal="center" vertical="center" wrapText="1"/>
      <protection hidden="1"/>
    </xf>
    <xf numFmtId="0" fontId="45" fillId="37" borderId="23" xfId="0" applyFont="1" applyFill="1" applyBorder="1" applyAlignment="1" applyProtection="1">
      <alignment horizontal="center" vertical="center"/>
      <protection hidden="1"/>
    </xf>
    <xf numFmtId="0" fontId="45" fillId="37" borderId="15" xfId="0" applyFont="1" applyFill="1" applyBorder="1" applyAlignment="1" applyProtection="1">
      <alignment horizontal="center" vertical="center"/>
      <protection hidden="1"/>
    </xf>
    <xf numFmtId="0" fontId="45" fillId="37" borderId="16" xfId="0" applyFont="1" applyFill="1" applyBorder="1" applyAlignment="1" applyProtection="1">
      <alignment horizontal="center" vertical="center"/>
      <protection hidden="1"/>
    </xf>
    <xf numFmtId="0" fontId="45" fillId="37" borderId="22" xfId="0" applyFont="1" applyFill="1" applyBorder="1" applyAlignment="1" applyProtection="1">
      <alignment horizontal="center" vertical="center"/>
      <protection hidden="1"/>
    </xf>
    <xf numFmtId="0" fontId="45" fillId="37" borderId="18" xfId="0" applyFont="1" applyFill="1" applyBorder="1" applyAlignment="1" applyProtection="1">
      <alignment horizontal="center" vertical="center"/>
      <protection hidden="1"/>
    </xf>
    <xf numFmtId="0" fontId="45" fillId="37" borderId="19" xfId="0" applyFont="1" applyFill="1" applyBorder="1" applyAlignment="1" applyProtection="1">
      <alignment horizontal="center" vertical="center"/>
      <protection hidden="1"/>
    </xf>
    <xf numFmtId="1" fontId="27" fillId="32" borderId="11" xfId="1" applyNumberFormat="1" applyFont="1" applyFill="1" applyBorder="1" applyAlignment="1" applyProtection="1">
      <alignment horizontal="right" vertical="center"/>
      <protection hidden="1"/>
    </xf>
    <xf numFmtId="1" fontId="27" fillId="32" borderId="12" xfId="1" applyNumberFormat="1" applyFont="1" applyFill="1" applyBorder="1" applyAlignment="1" applyProtection="1">
      <alignment horizontal="right" vertical="center"/>
      <protection hidden="1"/>
    </xf>
    <xf numFmtId="0" fontId="22" fillId="25" borderId="11" xfId="0" applyFont="1" applyFill="1" applyBorder="1" applyAlignment="1" applyProtection="1">
      <alignment horizontal="center" vertical="center"/>
      <protection hidden="1"/>
    </xf>
    <xf numFmtId="0" fontId="22" fillId="25" borderId="12" xfId="0" applyFont="1" applyFill="1" applyBorder="1" applyAlignment="1" applyProtection="1">
      <alignment horizontal="center" vertical="center"/>
      <protection hidden="1"/>
    </xf>
    <xf numFmtId="0" fontId="27" fillId="23" borderId="11" xfId="0" applyFont="1" applyFill="1" applyBorder="1" applyAlignment="1" applyProtection="1">
      <alignment horizontal="center" vertical="center"/>
      <protection hidden="1"/>
    </xf>
    <xf numFmtId="0" fontId="27" fillId="23" borderId="12" xfId="0" applyFont="1" applyFill="1" applyBorder="1" applyAlignment="1" applyProtection="1">
      <alignment horizontal="center" vertical="center"/>
      <protection hidden="1"/>
    </xf>
    <xf numFmtId="0" fontId="27" fillId="23" borderId="13" xfId="0" applyFont="1" applyFill="1" applyBorder="1" applyAlignment="1" applyProtection="1">
      <alignment horizontal="center" vertical="center"/>
      <protection hidden="1"/>
    </xf>
    <xf numFmtId="171" fontId="35" fillId="0" borderId="15" xfId="7" applyNumberFormat="1" applyFont="1" applyFill="1" applyBorder="1" applyAlignment="1" applyProtection="1">
      <alignment horizontal="right" vertical="center"/>
      <protection hidden="1"/>
    </xf>
    <xf numFmtId="171" fontId="35" fillId="0" borderId="16" xfId="7" applyNumberFormat="1" applyFont="1" applyFill="1" applyBorder="1" applyAlignment="1" applyProtection="1">
      <alignment horizontal="right" vertical="center"/>
      <protection hidden="1"/>
    </xf>
    <xf numFmtId="171" fontId="35" fillId="0" borderId="18" xfId="7" applyNumberFormat="1" applyFont="1" applyFill="1" applyBorder="1" applyAlignment="1" applyProtection="1">
      <alignment horizontal="right" vertical="center"/>
      <protection hidden="1"/>
    </xf>
    <xf numFmtId="171" fontId="35" fillId="0" borderId="19" xfId="7" applyNumberFormat="1" applyFont="1" applyFill="1" applyBorder="1" applyAlignment="1" applyProtection="1">
      <alignment horizontal="right" vertical="center"/>
      <protection hidden="1"/>
    </xf>
    <xf numFmtId="0" fontId="22" fillId="27" borderId="11" xfId="0" applyFont="1" applyFill="1" applyBorder="1" applyAlignment="1" applyProtection="1">
      <alignment horizontal="right" vertical="center"/>
      <protection hidden="1"/>
    </xf>
    <xf numFmtId="0" fontId="22" fillId="27" borderId="13" xfId="0" applyFont="1" applyFill="1" applyBorder="1" applyAlignment="1" applyProtection="1">
      <alignment horizontal="right" vertical="center"/>
      <protection hidden="1"/>
    </xf>
    <xf numFmtId="1" fontId="22" fillId="13" borderId="11" xfId="1" applyNumberFormat="1" applyFont="1" applyFill="1" applyBorder="1" applyAlignment="1" applyProtection="1">
      <alignment horizontal="right" vertical="center"/>
      <protection hidden="1"/>
    </xf>
    <xf numFmtId="1" fontId="22" fillId="13" borderId="12" xfId="1" applyNumberFormat="1" applyFont="1" applyFill="1" applyBorder="1" applyAlignment="1" applyProtection="1">
      <alignment horizontal="right" vertical="center"/>
      <protection hidden="1"/>
    </xf>
    <xf numFmtId="1" fontId="22" fillId="25" borderId="11" xfId="1" applyNumberFormat="1" applyFont="1" applyFill="1" applyBorder="1" applyAlignment="1" applyProtection="1">
      <alignment horizontal="right" vertical="center"/>
      <protection hidden="1"/>
    </xf>
    <xf numFmtId="1" fontId="22" fillId="25" borderId="12" xfId="1" applyNumberFormat="1" applyFont="1" applyFill="1" applyBorder="1" applyAlignment="1" applyProtection="1">
      <alignment horizontal="right" vertical="center"/>
      <protection hidden="1"/>
    </xf>
    <xf numFmtId="1" fontId="22" fillId="24" borderId="11" xfId="1" applyNumberFormat="1" applyFont="1" applyFill="1" applyBorder="1" applyAlignment="1" applyProtection="1">
      <alignment horizontal="right" vertical="center"/>
      <protection hidden="1"/>
    </xf>
    <xf numFmtId="1" fontId="22" fillId="24" borderId="12" xfId="1" applyNumberFormat="1" applyFont="1" applyFill="1" applyBorder="1" applyAlignment="1" applyProtection="1">
      <alignment horizontal="right" vertical="center"/>
      <protection hidden="1"/>
    </xf>
    <xf numFmtId="0" fontId="33" fillId="8" borderId="14" xfId="0" applyFont="1" applyFill="1" applyBorder="1" applyAlignment="1" applyProtection="1">
      <alignment horizontal="center" vertical="center" wrapText="1"/>
      <protection hidden="1"/>
    </xf>
    <xf numFmtId="0" fontId="33" fillId="8" borderId="16" xfId="0" applyFont="1" applyFill="1" applyBorder="1" applyAlignment="1" applyProtection="1">
      <alignment horizontal="center" vertical="center" wrapText="1"/>
      <protection hidden="1"/>
    </xf>
    <xf numFmtId="0" fontId="33" fillId="8" borderId="17" xfId="0" applyFont="1" applyFill="1" applyBorder="1" applyAlignment="1" applyProtection="1">
      <alignment horizontal="center" vertical="center" wrapText="1"/>
      <protection hidden="1"/>
    </xf>
    <xf numFmtId="0" fontId="33" fillId="8" borderId="19" xfId="0" applyFont="1" applyFill="1" applyBorder="1" applyAlignment="1" applyProtection="1">
      <alignment horizontal="center" vertical="center" wrapText="1"/>
      <protection hidden="1"/>
    </xf>
    <xf numFmtId="0" fontId="30" fillId="41" borderId="14" xfId="0" applyFont="1" applyFill="1" applyBorder="1" applyAlignment="1" applyProtection="1">
      <alignment horizontal="center" vertical="center" wrapText="1"/>
      <protection hidden="1"/>
    </xf>
    <xf numFmtId="0" fontId="30" fillId="41" borderId="15" xfId="0" applyFont="1" applyFill="1" applyBorder="1" applyAlignment="1" applyProtection="1">
      <alignment horizontal="center" vertical="center" wrapText="1"/>
      <protection hidden="1"/>
    </xf>
    <xf numFmtId="0" fontId="30" fillId="41" borderId="16" xfId="0" applyFont="1" applyFill="1" applyBorder="1" applyAlignment="1" applyProtection="1">
      <alignment horizontal="center" vertical="center" wrapText="1"/>
      <protection hidden="1"/>
    </xf>
    <xf numFmtId="0" fontId="30" fillId="41" borderId="17" xfId="0" applyFont="1" applyFill="1" applyBorder="1" applyAlignment="1" applyProtection="1">
      <alignment horizontal="center" vertical="center" wrapText="1"/>
      <protection hidden="1"/>
    </xf>
    <xf numFmtId="0" fontId="30" fillId="41" borderId="18" xfId="0" applyFont="1" applyFill="1" applyBorder="1" applyAlignment="1" applyProtection="1">
      <alignment horizontal="center" vertical="center" wrapText="1"/>
      <protection hidden="1"/>
    </xf>
    <xf numFmtId="0" fontId="30" fillId="41" borderId="19" xfId="0" applyFont="1" applyFill="1" applyBorder="1" applyAlignment="1" applyProtection="1">
      <alignment horizontal="center" vertical="center" wrapText="1"/>
      <protection hidden="1"/>
    </xf>
    <xf numFmtId="0" fontId="30" fillId="40" borderId="14" xfId="0" applyFont="1" applyFill="1" applyBorder="1" applyAlignment="1" applyProtection="1">
      <alignment horizontal="center" vertical="center" wrapText="1"/>
      <protection hidden="1"/>
    </xf>
    <xf numFmtId="0" fontId="30" fillId="40" borderId="15" xfId="0" applyFont="1" applyFill="1" applyBorder="1" applyAlignment="1" applyProtection="1">
      <alignment horizontal="center" vertical="center" wrapText="1"/>
      <protection hidden="1"/>
    </xf>
    <xf numFmtId="0" fontId="30" fillId="40" borderId="16" xfId="0" applyFont="1" applyFill="1" applyBorder="1" applyAlignment="1" applyProtection="1">
      <alignment horizontal="center" vertical="center" wrapText="1"/>
      <protection hidden="1"/>
    </xf>
    <xf numFmtId="0" fontId="30" fillId="40" borderId="17" xfId="0" applyFont="1" applyFill="1" applyBorder="1" applyAlignment="1" applyProtection="1">
      <alignment horizontal="center" vertical="center" wrapText="1"/>
      <protection hidden="1"/>
    </xf>
    <xf numFmtId="0" fontId="30" fillId="40" borderId="18" xfId="0" applyFont="1" applyFill="1" applyBorder="1" applyAlignment="1" applyProtection="1">
      <alignment horizontal="center" vertical="center" wrapText="1"/>
      <protection hidden="1"/>
    </xf>
    <xf numFmtId="0" fontId="30" fillId="40" borderId="19" xfId="0" applyFont="1" applyFill="1" applyBorder="1" applyAlignment="1" applyProtection="1">
      <alignment horizontal="center" vertical="center" wrapText="1"/>
      <protection hidden="1"/>
    </xf>
    <xf numFmtId="0" fontId="22" fillId="8" borderId="23" xfId="0" applyFont="1" applyFill="1" applyBorder="1" applyAlignment="1" applyProtection="1">
      <alignment horizontal="center" vertical="center" wrapText="1"/>
      <protection hidden="1"/>
    </xf>
    <xf numFmtId="0" fontId="22" fillId="8" borderId="24" xfId="0" applyFont="1" applyFill="1" applyBorder="1" applyAlignment="1" applyProtection="1">
      <alignment horizontal="center" vertical="center" wrapText="1"/>
      <protection hidden="1"/>
    </xf>
    <xf numFmtId="0" fontId="22" fillId="8" borderId="22" xfId="0" applyFont="1" applyFill="1" applyBorder="1" applyAlignment="1" applyProtection="1">
      <alignment horizontal="center" vertical="center" wrapText="1"/>
      <protection hidden="1"/>
    </xf>
    <xf numFmtId="0" fontId="22" fillId="8" borderId="14" xfId="0" applyFont="1" applyFill="1" applyBorder="1" applyAlignment="1" applyProtection="1">
      <alignment horizontal="center" vertical="center"/>
      <protection hidden="1"/>
    </xf>
    <xf numFmtId="0" fontId="22" fillId="8" borderId="16" xfId="0" applyFont="1" applyFill="1" applyBorder="1" applyAlignment="1" applyProtection="1">
      <alignment horizontal="center" vertical="center"/>
      <protection hidden="1"/>
    </xf>
    <xf numFmtId="0" fontId="22" fillId="8" borderId="17" xfId="0" applyFont="1" applyFill="1" applyBorder="1" applyAlignment="1" applyProtection="1">
      <alignment horizontal="center" vertical="center"/>
      <protection hidden="1"/>
    </xf>
    <xf numFmtId="0" fontId="22" fillId="8" borderId="19" xfId="0" applyFont="1" applyFill="1" applyBorder="1" applyAlignment="1" applyProtection="1">
      <alignment horizontal="center" vertical="center"/>
      <protection hidden="1"/>
    </xf>
    <xf numFmtId="0" fontId="27" fillId="10" borderId="14" xfId="0" applyFont="1" applyFill="1" applyBorder="1" applyAlignment="1" applyProtection="1">
      <alignment horizontal="center" vertical="center"/>
      <protection hidden="1"/>
    </xf>
    <xf numFmtId="0" fontId="27" fillId="10" borderId="15" xfId="0" applyFont="1" applyFill="1" applyBorder="1" applyAlignment="1" applyProtection="1">
      <alignment horizontal="center" vertical="center"/>
      <protection hidden="1"/>
    </xf>
    <xf numFmtId="0" fontId="27" fillId="10" borderId="16" xfId="0" applyFont="1" applyFill="1" applyBorder="1" applyAlignment="1" applyProtection="1">
      <alignment horizontal="center" vertical="center"/>
      <protection hidden="1"/>
    </xf>
    <xf numFmtId="0" fontId="27" fillId="10" borderId="20" xfId="0" applyFont="1" applyFill="1" applyBorder="1" applyAlignment="1" applyProtection="1">
      <alignment horizontal="center" vertical="center"/>
      <protection hidden="1"/>
    </xf>
    <xf numFmtId="0" fontId="27" fillId="10" borderId="0" xfId="0" applyFont="1" applyFill="1" applyBorder="1" applyAlignment="1" applyProtection="1">
      <alignment horizontal="center" vertical="center"/>
      <protection hidden="1"/>
    </xf>
    <xf numFmtId="0" fontId="27" fillId="10" borderId="21" xfId="0" applyFont="1" applyFill="1" applyBorder="1" applyAlignment="1" applyProtection="1">
      <alignment horizontal="center" vertical="center"/>
      <protection hidden="1"/>
    </xf>
    <xf numFmtId="0" fontId="27" fillId="10" borderId="17" xfId="0" applyFont="1" applyFill="1" applyBorder="1" applyAlignment="1" applyProtection="1">
      <alignment horizontal="center" vertical="center"/>
      <protection hidden="1"/>
    </xf>
    <xf numFmtId="0" fontId="27" fillId="10" borderId="18" xfId="0" applyFont="1" applyFill="1" applyBorder="1" applyAlignment="1" applyProtection="1">
      <alignment horizontal="center" vertical="center"/>
      <protection hidden="1"/>
    </xf>
    <xf numFmtId="0" fontId="27" fillId="10" borderId="19" xfId="0" applyFont="1" applyFill="1" applyBorder="1" applyAlignment="1" applyProtection="1">
      <alignment horizontal="center" vertical="center"/>
      <protection hidden="1"/>
    </xf>
    <xf numFmtId="0" fontId="27" fillId="2" borderId="10" xfId="0" applyFont="1" applyFill="1" applyBorder="1" applyAlignment="1" applyProtection="1">
      <alignment horizontal="right" vertical="center"/>
      <protection hidden="1"/>
    </xf>
    <xf numFmtId="0" fontId="24" fillId="2" borderId="10" xfId="0" quotePrefix="1" applyFont="1" applyFill="1" applyBorder="1" applyAlignment="1" applyProtection="1">
      <alignment horizontal="center" vertical="center" textRotation="90" wrapText="1"/>
      <protection hidden="1"/>
    </xf>
    <xf numFmtId="0" fontId="22" fillId="33" borderId="10" xfId="0" applyFont="1" applyFill="1" applyBorder="1" applyAlignment="1" applyProtection="1">
      <alignment horizontal="center" vertical="center" wrapText="1"/>
      <protection hidden="1"/>
    </xf>
    <xf numFmtId="0" fontId="22" fillId="33" borderId="11" xfId="0" applyFont="1" applyFill="1" applyBorder="1" applyAlignment="1" applyProtection="1">
      <alignment horizontal="center" vertical="center" wrapText="1"/>
      <protection hidden="1"/>
    </xf>
    <xf numFmtId="0" fontId="24" fillId="3" borderId="11" xfId="0" applyFont="1" applyFill="1" applyBorder="1" applyAlignment="1" applyProtection="1">
      <alignment horizontal="center" vertical="center"/>
      <protection hidden="1"/>
    </xf>
    <xf numFmtId="0" fontId="24" fillId="3" borderId="12" xfId="0" applyFont="1" applyFill="1" applyBorder="1" applyAlignment="1" applyProtection="1">
      <alignment horizontal="center" vertical="center"/>
      <protection hidden="1"/>
    </xf>
    <xf numFmtId="0" fontId="24" fillId="3" borderId="13" xfId="0" applyFont="1" applyFill="1" applyBorder="1" applyAlignment="1" applyProtection="1">
      <alignment horizontal="center" vertical="center"/>
      <protection hidden="1"/>
    </xf>
    <xf numFmtId="0" fontId="24" fillId="4" borderId="11" xfId="0" applyFont="1" applyFill="1" applyBorder="1" applyAlignment="1" applyProtection="1">
      <alignment horizontal="center" vertical="center"/>
      <protection hidden="1"/>
    </xf>
    <xf numFmtId="0" fontId="24" fillId="4" borderId="12" xfId="0" applyFont="1" applyFill="1" applyBorder="1" applyAlignment="1" applyProtection="1">
      <alignment horizontal="center" vertical="center"/>
      <protection hidden="1"/>
    </xf>
    <xf numFmtId="0" fontId="24" fillId="4" borderId="13" xfId="0" applyFont="1" applyFill="1" applyBorder="1" applyAlignment="1" applyProtection="1">
      <alignment horizontal="center" vertical="center"/>
      <protection hidden="1"/>
    </xf>
    <xf numFmtId="0" fontId="22" fillId="13" borderId="11" xfId="0" applyFont="1" applyFill="1" applyBorder="1" applyAlignment="1" applyProtection="1">
      <alignment horizontal="center" vertical="center" wrapText="1"/>
      <protection hidden="1"/>
    </xf>
    <xf numFmtId="0" fontId="22" fillId="13" borderId="12" xfId="0" applyFont="1" applyFill="1" applyBorder="1" applyAlignment="1" applyProtection="1">
      <alignment horizontal="center" vertical="center" wrapText="1"/>
      <protection hidden="1"/>
    </xf>
    <xf numFmtId="0" fontId="22" fillId="13" borderId="13" xfId="0" applyFont="1" applyFill="1" applyBorder="1" applyAlignment="1" applyProtection="1">
      <alignment horizontal="center" vertical="center" wrapText="1"/>
      <protection hidden="1"/>
    </xf>
    <xf numFmtId="0" fontId="22" fillId="5" borderId="11" xfId="0" applyFont="1" applyFill="1" applyBorder="1" applyAlignment="1" applyProtection="1">
      <alignment horizontal="center" vertical="center" wrapText="1"/>
      <protection hidden="1"/>
    </xf>
    <xf numFmtId="0" fontId="22" fillId="5" borderId="12" xfId="0" applyFont="1" applyFill="1" applyBorder="1" applyAlignment="1" applyProtection="1">
      <alignment horizontal="center" vertical="center" wrapText="1"/>
      <protection hidden="1"/>
    </xf>
    <xf numFmtId="0" fontId="22" fillId="5" borderId="13" xfId="0" applyFont="1" applyFill="1" applyBorder="1" applyAlignment="1" applyProtection="1">
      <alignment horizontal="center" vertical="center" wrapText="1"/>
      <protection hidden="1"/>
    </xf>
    <xf numFmtId="0" fontId="45" fillId="10" borderId="17" xfId="0" applyFont="1" applyFill="1" applyBorder="1" applyAlignment="1" applyProtection="1">
      <alignment horizontal="center" vertical="center"/>
      <protection hidden="1"/>
    </xf>
    <xf numFmtId="0" fontId="45" fillId="10" borderId="18" xfId="0" applyFont="1" applyFill="1" applyBorder="1" applyAlignment="1" applyProtection="1">
      <alignment horizontal="center" vertical="center"/>
      <protection hidden="1"/>
    </xf>
    <xf numFmtId="0" fontId="45" fillId="10" borderId="19" xfId="0" applyFont="1" applyFill="1" applyBorder="1" applyAlignment="1" applyProtection="1">
      <alignment horizontal="center" vertical="center"/>
      <protection hidden="1"/>
    </xf>
    <xf numFmtId="0" fontId="45" fillId="10" borderId="14" xfId="0" applyFont="1" applyFill="1" applyBorder="1" applyAlignment="1" applyProtection="1">
      <alignment horizontal="center" vertical="center"/>
      <protection hidden="1"/>
    </xf>
    <xf numFmtId="0" fontId="45" fillId="10" borderId="15" xfId="0" applyFont="1" applyFill="1" applyBorder="1" applyAlignment="1" applyProtection="1">
      <alignment horizontal="center" vertical="center"/>
      <protection hidden="1"/>
    </xf>
    <xf numFmtId="0" fontId="45" fillId="10" borderId="16" xfId="0" applyFont="1" applyFill="1" applyBorder="1" applyAlignment="1" applyProtection="1">
      <alignment horizontal="center" vertical="center"/>
      <protection hidden="1"/>
    </xf>
    <xf numFmtId="0" fontId="30" fillId="24" borderId="14" xfId="0" applyFont="1" applyFill="1" applyBorder="1" applyAlignment="1" applyProtection="1">
      <alignment horizontal="center" vertical="center" wrapText="1"/>
      <protection hidden="1"/>
    </xf>
    <xf numFmtId="0" fontId="30" fillId="24" borderId="15" xfId="0" applyFont="1" applyFill="1" applyBorder="1" applyAlignment="1" applyProtection="1">
      <alignment horizontal="center" vertical="center" wrapText="1"/>
      <protection hidden="1"/>
    </xf>
    <xf numFmtId="0" fontId="30" fillId="24" borderId="16" xfId="0" applyFont="1" applyFill="1" applyBorder="1" applyAlignment="1" applyProtection="1">
      <alignment horizontal="center" vertical="center" wrapText="1"/>
      <protection hidden="1"/>
    </xf>
    <xf numFmtId="0" fontId="30" fillId="24" borderId="17" xfId="0" applyFont="1" applyFill="1" applyBorder="1" applyAlignment="1" applyProtection="1">
      <alignment horizontal="center" vertical="center" wrapText="1"/>
      <protection hidden="1"/>
    </xf>
    <xf numFmtId="0" fontId="30" fillId="24" borderId="18" xfId="0" applyFont="1" applyFill="1" applyBorder="1" applyAlignment="1" applyProtection="1">
      <alignment horizontal="center" vertical="center" wrapText="1"/>
      <protection hidden="1"/>
    </xf>
    <xf numFmtId="0" fontId="30" fillId="24" borderId="19" xfId="0" applyFont="1" applyFill="1" applyBorder="1" applyAlignment="1" applyProtection="1">
      <alignment horizontal="center" vertical="center" wrapText="1"/>
      <protection hidden="1"/>
    </xf>
    <xf numFmtId="0" fontId="45" fillId="11" borderId="14" xfId="0" applyFont="1" applyFill="1" applyBorder="1" applyAlignment="1" applyProtection="1">
      <alignment horizontal="center" vertical="center"/>
      <protection hidden="1"/>
    </xf>
    <xf numFmtId="0" fontId="45" fillId="11" borderId="15" xfId="0" applyFont="1" applyFill="1" applyBorder="1" applyAlignment="1" applyProtection="1">
      <alignment horizontal="center" vertical="center"/>
      <protection hidden="1"/>
    </xf>
    <xf numFmtId="0" fontId="45" fillId="11" borderId="16" xfId="0" applyFont="1" applyFill="1" applyBorder="1" applyAlignment="1" applyProtection="1">
      <alignment horizontal="center" vertical="center"/>
      <protection hidden="1"/>
    </xf>
    <xf numFmtId="0" fontId="45" fillId="11" borderId="17" xfId="0" applyFont="1" applyFill="1" applyBorder="1" applyAlignment="1" applyProtection="1">
      <alignment horizontal="center" vertical="center"/>
      <protection hidden="1"/>
    </xf>
    <xf numFmtId="0" fontId="45" fillId="11" borderId="18" xfId="0" applyFont="1" applyFill="1" applyBorder="1" applyAlignment="1" applyProtection="1">
      <alignment horizontal="center" vertical="center"/>
      <protection hidden="1"/>
    </xf>
    <xf numFmtId="0" fontId="45" fillId="11" borderId="19" xfId="0" applyFont="1" applyFill="1" applyBorder="1" applyAlignment="1" applyProtection="1">
      <alignment horizontal="center" vertical="center"/>
      <protection hidden="1"/>
    </xf>
    <xf numFmtId="0" fontId="30" fillId="25" borderId="14" xfId="0" applyFont="1" applyFill="1" applyBorder="1" applyAlignment="1" applyProtection="1">
      <alignment horizontal="center" vertical="center" wrapText="1"/>
      <protection hidden="1"/>
    </xf>
    <xf numFmtId="0" fontId="30" fillId="25" borderId="15" xfId="0" applyFont="1" applyFill="1" applyBorder="1" applyAlignment="1" applyProtection="1">
      <alignment horizontal="center" vertical="center" wrapText="1"/>
      <protection hidden="1"/>
    </xf>
    <xf numFmtId="0" fontId="30" fillId="25" borderId="16" xfId="0" applyFont="1" applyFill="1" applyBorder="1" applyAlignment="1" applyProtection="1">
      <alignment horizontal="center" vertical="center" wrapText="1"/>
      <protection hidden="1"/>
    </xf>
    <xf numFmtId="0" fontId="30" fillId="25" borderId="17" xfId="0" applyFont="1" applyFill="1" applyBorder="1" applyAlignment="1" applyProtection="1">
      <alignment horizontal="center" vertical="center" wrapText="1"/>
      <protection hidden="1"/>
    </xf>
    <xf numFmtId="0" fontId="30" fillId="25" borderId="18" xfId="0" applyFont="1" applyFill="1" applyBorder="1" applyAlignment="1" applyProtection="1">
      <alignment horizontal="center" vertical="center" wrapText="1"/>
      <protection hidden="1"/>
    </xf>
    <xf numFmtId="0" fontId="30" fillId="25" borderId="19" xfId="0" applyFont="1" applyFill="1" applyBorder="1" applyAlignment="1" applyProtection="1">
      <alignment horizontal="center" vertical="center" wrapText="1"/>
      <protection hidden="1"/>
    </xf>
    <xf numFmtId="0" fontId="45" fillId="32" borderId="14" xfId="0" applyFont="1" applyFill="1" applyBorder="1" applyAlignment="1" applyProtection="1">
      <alignment horizontal="center" vertical="center"/>
      <protection hidden="1"/>
    </xf>
    <xf numFmtId="0" fontId="45" fillId="32" borderId="15" xfId="0" applyFont="1" applyFill="1" applyBorder="1" applyAlignment="1" applyProtection="1">
      <alignment horizontal="center" vertical="center"/>
      <protection hidden="1"/>
    </xf>
    <xf numFmtId="0" fontId="45" fillId="32" borderId="16" xfId="0" applyFont="1" applyFill="1" applyBorder="1" applyAlignment="1" applyProtection="1">
      <alignment horizontal="center" vertical="center"/>
      <protection hidden="1"/>
    </xf>
    <xf numFmtId="0" fontId="45" fillId="32" borderId="17" xfId="0" applyFont="1" applyFill="1" applyBorder="1" applyAlignment="1" applyProtection="1">
      <alignment horizontal="center" vertical="center"/>
      <protection hidden="1"/>
    </xf>
    <xf numFmtId="0" fontId="45" fillId="32" borderId="18" xfId="0" applyFont="1" applyFill="1" applyBorder="1" applyAlignment="1" applyProtection="1">
      <alignment horizontal="center" vertical="center"/>
      <protection hidden="1"/>
    </xf>
    <xf numFmtId="0" fontId="45" fillId="32" borderId="19" xfId="0" applyFont="1" applyFill="1" applyBorder="1" applyAlignment="1" applyProtection="1">
      <alignment horizontal="center" vertical="center"/>
      <protection hidden="1"/>
    </xf>
    <xf numFmtId="0" fontId="22" fillId="27" borderId="11" xfId="0" applyFont="1" applyFill="1" applyBorder="1" applyAlignment="1">
      <alignment horizontal="right" vertical="center"/>
    </xf>
    <xf numFmtId="0" fontId="22" fillId="27" borderId="13" xfId="0" applyFont="1" applyFill="1" applyBorder="1" applyAlignment="1">
      <alignment horizontal="right" vertical="center"/>
    </xf>
    <xf numFmtId="0" fontId="24" fillId="45" borderId="11" xfId="0" applyFont="1" applyFill="1" applyBorder="1" applyAlignment="1">
      <alignment horizontal="center" vertical="center"/>
    </xf>
    <xf numFmtId="0" fontId="24" fillId="45" borderId="13" xfId="0" applyFont="1" applyFill="1" applyBorder="1" applyAlignment="1">
      <alignment horizontal="center" vertical="center"/>
    </xf>
    <xf numFmtId="0" fontId="22" fillId="18" borderId="11" xfId="0" applyFont="1" applyFill="1" applyBorder="1" applyAlignment="1">
      <alignment horizontal="center" vertical="center"/>
    </xf>
    <xf numFmtId="0" fontId="22" fillId="18" borderId="12" xfId="0" applyFont="1" applyFill="1" applyBorder="1" applyAlignment="1">
      <alignment horizontal="center" vertical="center"/>
    </xf>
    <xf numFmtId="0" fontId="22" fillId="18" borderId="13" xfId="0" applyFont="1" applyFill="1" applyBorder="1" applyAlignment="1">
      <alignment horizontal="center" vertical="center"/>
    </xf>
    <xf numFmtId="0" fontId="22" fillId="8" borderId="23"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22" xfId="0" applyFont="1" applyFill="1" applyBorder="1" applyAlignment="1">
      <alignment horizontal="center" vertical="center" wrapText="1"/>
    </xf>
    <xf numFmtId="0" fontId="24" fillId="2" borderId="11" xfId="0" applyFont="1" applyFill="1" applyBorder="1" applyAlignment="1">
      <alignment horizontal="center" vertical="center"/>
    </xf>
    <xf numFmtId="0" fontId="24" fillId="2" borderId="13"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13" xfId="0" applyFont="1" applyFill="1" applyBorder="1" applyAlignment="1">
      <alignment horizontal="center" vertical="center"/>
    </xf>
    <xf numFmtId="0" fontId="24" fillId="4" borderId="11" xfId="0" applyFont="1" applyFill="1" applyBorder="1" applyAlignment="1">
      <alignment horizontal="center" vertical="center"/>
    </xf>
    <xf numFmtId="0" fontId="24" fillId="4" borderId="12" xfId="0" applyFont="1" applyFill="1" applyBorder="1" applyAlignment="1">
      <alignment horizontal="center" vertical="center"/>
    </xf>
    <xf numFmtId="0" fontId="24" fillId="4" borderId="13" xfId="0" applyFont="1" applyFill="1" applyBorder="1" applyAlignment="1">
      <alignment horizontal="center" vertical="center"/>
    </xf>
    <xf numFmtId="0" fontId="22" fillId="13" borderId="11"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2" fillId="13" borderId="13"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5" fillId="26" borderId="11" xfId="0" applyFont="1" applyFill="1" applyBorder="1" applyAlignment="1">
      <alignment horizontal="center" vertical="center"/>
    </xf>
    <xf numFmtId="0" fontId="25" fillId="26" borderId="13" xfId="0" applyFont="1" applyFill="1" applyBorder="1" applyAlignment="1">
      <alignment horizontal="center" vertical="center"/>
    </xf>
    <xf numFmtId="0" fontId="27" fillId="2" borderId="10" xfId="0" applyFont="1" applyFill="1" applyBorder="1" applyAlignment="1">
      <alignment horizontal="right" vertical="center"/>
    </xf>
    <xf numFmtId="0" fontId="24" fillId="2" borderId="10" xfId="0" quotePrefix="1" applyFont="1" applyFill="1" applyBorder="1" applyAlignment="1">
      <alignment horizontal="center" vertical="center" textRotation="90" wrapText="1"/>
    </xf>
    <xf numFmtId="0" fontId="32" fillId="23" borderId="14" xfId="0" applyFont="1" applyFill="1" applyBorder="1" applyAlignment="1">
      <alignment horizontal="center" vertical="center" wrapText="1"/>
    </xf>
    <xf numFmtId="0" fontId="32" fillId="23" borderId="15" xfId="0" applyFont="1" applyFill="1" applyBorder="1" applyAlignment="1">
      <alignment horizontal="center" vertical="center" wrapText="1"/>
    </xf>
    <xf numFmtId="0" fontId="32" fillId="23" borderId="16" xfId="0" applyFont="1" applyFill="1" applyBorder="1" applyAlignment="1">
      <alignment horizontal="center" vertical="center" wrapText="1"/>
    </xf>
    <xf numFmtId="0" fontId="32" fillId="23" borderId="17" xfId="0" applyFont="1" applyFill="1" applyBorder="1" applyAlignment="1">
      <alignment horizontal="center" vertical="center" wrapText="1"/>
    </xf>
    <xf numFmtId="0" fontId="32" fillId="23" borderId="18" xfId="0" applyFont="1" applyFill="1" applyBorder="1" applyAlignment="1">
      <alignment horizontal="center" vertical="center" wrapText="1"/>
    </xf>
    <xf numFmtId="0" fontId="32" fillId="23" borderId="19" xfId="0" applyFont="1" applyFill="1" applyBorder="1" applyAlignment="1">
      <alignment horizontal="center" vertical="center" wrapText="1"/>
    </xf>
    <xf numFmtId="0" fontId="22" fillId="8" borderId="14" xfId="0" applyFont="1" applyFill="1" applyBorder="1" applyAlignment="1">
      <alignment horizontal="center" vertical="center"/>
    </xf>
    <xf numFmtId="0" fontId="22" fillId="8" borderId="16" xfId="0" applyFont="1" applyFill="1" applyBorder="1" applyAlignment="1">
      <alignment horizontal="center" vertical="center"/>
    </xf>
    <xf numFmtId="0" fontId="22" fillId="8" borderId="17" xfId="0" applyFont="1" applyFill="1" applyBorder="1" applyAlignment="1">
      <alignment horizontal="center" vertical="center"/>
    </xf>
    <xf numFmtId="0" fontId="22" fillId="8" borderId="19" xfId="0" applyFont="1" applyFill="1" applyBorder="1" applyAlignment="1">
      <alignment horizontal="center" vertical="center"/>
    </xf>
    <xf numFmtId="0" fontId="27" fillId="10" borderId="14"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16" xfId="0" applyFont="1" applyFill="1" applyBorder="1" applyAlignment="1">
      <alignment horizontal="center" vertical="center"/>
    </xf>
    <xf numFmtId="0" fontId="27" fillId="10" borderId="20"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21" xfId="0" applyFont="1" applyFill="1" applyBorder="1" applyAlignment="1">
      <alignment horizontal="center" vertical="center"/>
    </xf>
    <xf numFmtId="0" fontId="27" fillId="10" borderId="17" xfId="0" applyFont="1" applyFill="1" applyBorder="1" applyAlignment="1">
      <alignment horizontal="center" vertical="center"/>
    </xf>
    <xf numFmtId="0" fontId="27" fillId="10" borderId="18" xfId="0" applyFont="1" applyFill="1" applyBorder="1" applyAlignment="1">
      <alignment horizontal="center" vertical="center"/>
    </xf>
    <xf numFmtId="0" fontId="27" fillId="10" borderId="19" xfId="0" applyFont="1" applyFill="1" applyBorder="1" applyAlignment="1">
      <alignment horizontal="center" vertical="center"/>
    </xf>
    <xf numFmtId="0" fontId="24" fillId="0" borderId="11"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31" fillId="12" borderId="14" xfId="0" applyFont="1" applyFill="1" applyBorder="1" applyAlignment="1">
      <alignment horizontal="center" vertical="center"/>
    </xf>
    <xf numFmtId="0" fontId="31" fillId="12" borderId="15" xfId="0" applyFont="1" applyFill="1" applyBorder="1" applyAlignment="1">
      <alignment horizontal="center" vertical="center"/>
    </xf>
    <xf numFmtId="0" fontId="31" fillId="12" borderId="16" xfId="0" applyFont="1" applyFill="1" applyBorder="1" applyAlignment="1">
      <alignment horizontal="center" vertical="center"/>
    </xf>
    <xf numFmtId="0" fontId="31" fillId="12" borderId="17" xfId="0" applyFont="1" applyFill="1" applyBorder="1" applyAlignment="1">
      <alignment horizontal="center" vertical="center"/>
    </xf>
    <xf numFmtId="0" fontId="31" fillId="12" borderId="18" xfId="0" applyFont="1" applyFill="1" applyBorder="1" applyAlignment="1">
      <alignment horizontal="center" vertical="center"/>
    </xf>
    <xf numFmtId="0" fontId="31" fillId="12" borderId="19" xfId="0" applyFont="1" applyFill="1" applyBorder="1" applyAlignment="1">
      <alignment horizontal="center" vertical="center"/>
    </xf>
    <xf numFmtId="0" fontId="30" fillId="0" borderId="11" xfId="0" applyFont="1" applyFill="1" applyBorder="1" applyAlignment="1" applyProtection="1">
      <alignment horizontal="center" vertical="center" wrapText="1"/>
      <protection hidden="1"/>
    </xf>
    <xf numFmtId="0" fontId="30" fillId="0" borderId="12" xfId="0" applyFont="1" applyFill="1" applyBorder="1" applyAlignment="1" applyProtection="1">
      <alignment horizontal="center" vertical="center" wrapText="1"/>
      <protection hidden="1"/>
    </xf>
    <xf numFmtId="0" fontId="30" fillId="0" borderId="13" xfId="0" applyFont="1" applyFill="1" applyBorder="1" applyAlignment="1" applyProtection="1">
      <alignment horizontal="center" vertical="center" wrapText="1"/>
      <protection hidden="1"/>
    </xf>
    <xf numFmtId="0" fontId="31" fillId="17" borderId="14" xfId="0" applyFont="1" applyFill="1" applyBorder="1" applyAlignment="1" applyProtection="1">
      <alignment horizontal="center" vertical="center"/>
      <protection hidden="1"/>
    </xf>
    <xf numFmtId="0" fontId="31" fillId="17" borderId="15" xfId="0" applyFont="1" applyFill="1" applyBorder="1" applyAlignment="1" applyProtection="1">
      <alignment horizontal="center" vertical="center"/>
      <protection hidden="1"/>
    </xf>
    <xf numFmtId="0" fontId="31" fillId="17" borderId="16" xfId="0" applyFont="1" applyFill="1" applyBorder="1" applyAlignment="1" applyProtection="1">
      <alignment horizontal="center" vertical="center"/>
      <protection hidden="1"/>
    </xf>
    <xf numFmtId="0" fontId="31" fillId="17" borderId="17" xfId="0" applyFont="1" applyFill="1" applyBorder="1" applyAlignment="1" applyProtection="1">
      <alignment horizontal="center" vertical="center"/>
      <protection hidden="1"/>
    </xf>
    <xf numFmtId="0" fontId="31" fillId="17" borderId="18" xfId="0" applyFont="1" applyFill="1" applyBorder="1" applyAlignment="1" applyProtection="1">
      <alignment horizontal="center" vertical="center"/>
      <protection hidden="1"/>
    </xf>
    <xf numFmtId="0" fontId="31" fillId="17" borderId="19" xfId="0" applyFont="1" applyFill="1" applyBorder="1" applyAlignment="1" applyProtection="1">
      <alignment horizontal="center" vertical="center"/>
      <protection hidden="1"/>
    </xf>
    <xf numFmtId="0" fontId="33" fillId="24" borderId="14" xfId="0" applyFont="1" applyFill="1" applyBorder="1" applyAlignment="1" applyProtection="1">
      <alignment horizontal="center" vertical="center" wrapText="1"/>
      <protection hidden="1"/>
    </xf>
    <xf numFmtId="0" fontId="33" fillId="24" borderId="16" xfId="0" applyFont="1" applyFill="1" applyBorder="1" applyAlignment="1" applyProtection="1">
      <alignment horizontal="center" vertical="center" wrapText="1"/>
      <protection hidden="1"/>
    </xf>
    <xf numFmtId="0" fontId="33" fillId="24" borderId="17" xfId="0" applyFont="1" applyFill="1" applyBorder="1" applyAlignment="1" applyProtection="1">
      <alignment horizontal="center" vertical="center" wrapText="1"/>
      <protection hidden="1"/>
    </xf>
    <xf numFmtId="0" fontId="33" fillId="24" borderId="19" xfId="0" applyFont="1" applyFill="1" applyBorder="1" applyAlignment="1" applyProtection="1">
      <alignment horizontal="center" vertical="center" wrapText="1"/>
      <protection hidden="1"/>
    </xf>
    <xf numFmtId="0" fontId="30" fillId="42" borderId="14" xfId="0" applyFont="1" applyFill="1" applyBorder="1" applyAlignment="1" applyProtection="1">
      <alignment horizontal="center" vertical="center" wrapText="1"/>
      <protection hidden="1"/>
    </xf>
    <xf numFmtId="0" fontId="30" fillId="42" borderId="15" xfId="0" applyFont="1" applyFill="1" applyBorder="1" applyAlignment="1" applyProtection="1">
      <alignment horizontal="center" vertical="center" wrapText="1"/>
      <protection hidden="1"/>
    </xf>
    <xf numFmtId="0" fontId="30" fillId="42" borderId="16" xfId="0" applyFont="1" applyFill="1" applyBorder="1" applyAlignment="1" applyProtection="1">
      <alignment horizontal="center" vertical="center" wrapText="1"/>
      <protection hidden="1"/>
    </xf>
    <xf numFmtId="0" fontId="30" fillId="42" borderId="17" xfId="0" applyFont="1" applyFill="1" applyBorder="1" applyAlignment="1" applyProtection="1">
      <alignment horizontal="center" vertical="center" wrapText="1"/>
      <protection hidden="1"/>
    </xf>
    <xf numFmtId="0" fontId="30" fillId="42" borderId="18" xfId="0" applyFont="1" applyFill="1" applyBorder="1" applyAlignment="1" applyProtection="1">
      <alignment horizontal="center" vertical="center" wrapText="1"/>
      <protection hidden="1"/>
    </xf>
    <xf numFmtId="0" fontId="30" fillId="42" borderId="19" xfId="0" applyFont="1" applyFill="1" applyBorder="1" applyAlignment="1" applyProtection="1">
      <alignment horizontal="center" vertical="center" wrapText="1"/>
      <protection hidden="1"/>
    </xf>
    <xf numFmtId="0" fontId="22" fillId="18" borderId="11" xfId="0" applyNumberFormat="1" applyFont="1" applyFill="1" applyBorder="1" applyAlignment="1" applyProtection="1">
      <alignment horizontal="right" vertical="center"/>
      <protection hidden="1"/>
    </xf>
    <xf numFmtId="0" fontId="22" fillId="18" borderId="13" xfId="0" applyFont="1" applyFill="1" applyBorder="1" applyAlignment="1" applyProtection="1">
      <alignment horizontal="right" vertical="center"/>
      <protection hidden="1"/>
    </xf>
    <xf numFmtId="0" fontId="29" fillId="0" borderId="11" xfId="0" applyFont="1" applyFill="1" applyBorder="1" applyAlignment="1" applyProtection="1">
      <alignment horizontal="center" vertical="center" wrapText="1"/>
      <protection hidden="1"/>
    </xf>
    <xf numFmtId="0" fontId="29" fillId="0" borderId="12" xfId="0" applyFont="1" applyFill="1" applyBorder="1" applyAlignment="1" applyProtection="1">
      <alignment horizontal="center" vertical="center" wrapText="1"/>
      <protection hidden="1"/>
    </xf>
    <xf numFmtId="0" fontId="29" fillId="0" borderId="13" xfId="0" applyFont="1" applyFill="1" applyBorder="1" applyAlignment="1" applyProtection="1">
      <alignment horizontal="center" vertical="center" wrapText="1"/>
      <protection hidden="1"/>
    </xf>
    <xf numFmtId="3" fontId="22" fillId="0" borderId="11" xfId="1" applyNumberFormat="1" applyFont="1" applyFill="1" applyBorder="1" applyAlignment="1" applyProtection="1">
      <alignment horizontal="center" vertical="center"/>
      <protection hidden="1"/>
    </xf>
    <xf numFmtId="3" fontId="22" fillId="0" borderId="12" xfId="1" applyNumberFormat="1" applyFont="1" applyFill="1" applyBorder="1" applyAlignment="1" applyProtection="1">
      <alignment horizontal="center" vertical="center"/>
      <protection hidden="1"/>
    </xf>
    <xf numFmtId="3" fontId="22" fillId="0" borderId="13" xfId="1" applyNumberFormat="1" applyFont="1" applyFill="1" applyBorder="1" applyAlignment="1" applyProtection="1">
      <alignment horizontal="center" vertical="center"/>
      <protection hidden="1"/>
    </xf>
    <xf numFmtId="0" fontId="27" fillId="23" borderId="11" xfId="0" applyFont="1" applyFill="1" applyBorder="1" applyAlignment="1" applyProtection="1">
      <alignment horizontal="center" vertical="center" wrapText="1"/>
      <protection hidden="1"/>
    </xf>
    <xf numFmtId="0" fontId="27" fillId="23" borderId="12" xfId="0" applyFont="1" applyFill="1" applyBorder="1" applyAlignment="1" applyProtection="1">
      <alignment horizontal="center" vertical="center" wrapText="1"/>
      <protection hidden="1"/>
    </xf>
    <xf numFmtId="0" fontId="27" fillId="23" borderId="13" xfId="0" applyFont="1" applyFill="1" applyBorder="1" applyAlignment="1" applyProtection="1">
      <alignment horizontal="center" vertical="center" wrapText="1"/>
      <protection hidden="1"/>
    </xf>
    <xf numFmtId="0" fontId="33" fillId="31" borderId="14" xfId="0" applyFont="1" applyFill="1" applyBorder="1" applyAlignment="1" applyProtection="1">
      <alignment horizontal="center" vertical="center" wrapText="1"/>
      <protection hidden="1"/>
    </xf>
    <xf numFmtId="0" fontId="33" fillId="31" borderId="16" xfId="0" applyFont="1" applyFill="1" applyBorder="1" applyAlignment="1" applyProtection="1">
      <alignment horizontal="center" vertical="center" wrapText="1"/>
      <protection hidden="1"/>
    </xf>
    <xf numFmtId="0" fontId="33" fillId="31" borderId="17" xfId="0" applyFont="1" applyFill="1" applyBorder="1" applyAlignment="1" applyProtection="1">
      <alignment horizontal="center" vertical="center" wrapText="1"/>
      <protection hidden="1"/>
    </xf>
    <xf numFmtId="0" fontId="33" fillId="31" borderId="19" xfId="0" applyFont="1" applyFill="1" applyBorder="1" applyAlignment="1" applyProtection="1">
      <alignment horizontal="center" vertical="center" wrapText="1"/>
      <protection hidden="1"/>
    </xf>
    <xf numFmtId="0" fontId="30" fillId="18" borderId="14" xfId="0" applyFont="1" applyFill="1" applyBorder="1" applyAlignment="1" applyProtection="1">
      <alignment horizontal="center" vertical="center" wrapText="1"/>
      <protection hidden="1"/>
    </xf>
    <xf numFmtId="0" fontId="30" fillId="18" borderId="15" xfId="0" applyFont="1" applyFill="1" applyBorder="1" applyAlignment="1" applyProtection="1">
      <alignment horizontal="center" vertical="center" wrapText="1"/>
      <protection hidden="1"/>
    </xf>
    <xf numFmtId="0" fontId="30" fillId="18" borderId="16" xfId="0" applyFont="1" applyFill="1" applyBorder="1" applyAlignment="1" applyProtection="1">
      <alignment horizontal="center" vertical="center" wrapText="1"/>
      <protection hidden="1"/>
    </xf>
    <xf numFmtId="0" fontId="30" fillId="18" borderId="17" xfId="0" applyFont="1" applyFill="1" applyBorder="1" applyAlignment="1" applyProtection="1">
      <alignment horizontal="center" vertical="center" wrapText="1"/>
      <protection hidden="1"/>
    </xf>
    <xf numFmtId="0" fontId="30" fillId="18" borderId="18" xfId="0" applyFont="1" applyFill="1" applyBorder="1" applyAlignment="1" applyProtection="1">
      <alignment horizontal="center" vertical="center" wrapText="1"/>
      <protection hidden="1"/>
    </xf>
    <xf numFmtId="0" fontId="30" fillId="18" borderId="19" xfId="0" applyFont="1" applyFill="1" applyBorder="1" applyAlignment="1" applyProtection="1">
      <alignment horizontal="center" vertical="center" wrapText="1"/>
      <protection hidden="1"/>
    </xf>
    <xf numFmtId="0" fontId="22" fillId="18" borderId="15" xfId="0" applyFont="1" applyFill="1" applyBorder="1" applyAlignment="1" applyProtection="1">
      <alignment horizontal="center" vertical="center" wrapText="1"/>
      <protection hidden="1"/>
    </xf>
    <xf numFmtId="0" fontId="22" fillId="18" borderId="16" xfId="0" applyFont="1" applyFill="1" applyBorder="1" applyAlignment="1" applyProtection="1">
      <alignment horizontal="center" vertical="center" wrapText="1"/>
      <protection hidden="1"/>
    </xf>
    <xf numFmtId="0" fontId="45" fillId="6" borderId="14" xfId="0" applyFont="1" applyFill="1" applyBorder="1" applyAlignment="1" applyProtection="1">
      <alignment horizontal="center" vertical="center"/>
      <protection hidden="1"/>
    </xf>
    <xf numFmtId="0" fontId="45" fillId="6" borderId="15" xfId="0" applyFont="1" applyFill="1" applyBorder="1" applyAlignment="1" applyProtection="1">
      <alignment horizontal="center" vertical="center"/>
      <protection hidden="1"/>
    </xf>
    <xf numFmtId="0" fontId="45" fillId="6" borderId="16" xfId="0" applyFont="1" applyFill="1" applyBorder="1" applyAlignment="1" applyProtection="1">
      <alignment horizontal="center" vertical="center"/>
      <protection hidden="1"/>
    </xf>
    <xf numFmtId="0" fontId="45" fillId="6" borderId="17" xfId="0" applyFont="1" applyFill="1" applyBorder="1" applyAlignment="1" applyProtection="1">
      <alignment horizontal="center" vertical="center"/>
      <protection hidden="1"/>
    </xf>
    <xf numFmtId="0" fontId="45" fillId="6" borderId="18" xfId="0" applyFont="1" applyFill="1" applyBorder="1" applyAlignment="1" applyProtection="1">
      <alignment horizontal="center" vertical="center"/>
      <protection hidden="1"/>
    </xf>
    <xf numFmtId="0" fontId="45" fillId="6" borderId="19" xfId="0" applyFont="1" applyFill="1" applyBorder="1" applyAlignment="1" applyProtection="1">
      <alignment horizontal="center" vertical="center"/>
      <protection hidden="1"/>
    </xf>
    <xf numFmtId="0" fontId="37" fillId="0" borderId="14" xfId="0" applyFont="1" applyFill="1" applyBorder="1" applyAlignment="1" applyProtection="1">
      <alignment horizontal="right" vertical="center"/>
      <protection hidden="1"/>
    </xf>
    <xf numFmtId="0" fontId="37" fillId="0" borderId="15" xfId="0" applyFont="1" applyFill="1" applyBorder="1" applyAlignment="1" applyProtection="1">
      <alignment horizontal="right" vertical="center"/>
      <protection hidden="1"/>
    </xf>
    <xf numFmtId="0" fontId="37" fillId="0" borderId="16" xfId="0" applyFont="1" applyFill="1" applyBorder="1" applyAlignment="1" applyProtection="1">
      <alignment horizontal="right" vertical="center"/>
      <protection hidden="1"/>
    </xf>
    <xf numFmtId="0" fontId="37" fillId="0" borderId="2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protection hidden="1"/>
    </xf>
    <xf numFmtId="0" fontId="37" fillId="0" borderId="21" xfId="0" applyFont="1" applyFill="1" applyBorder="1" applyAlignment="1" applyProtection="1">
      <alignment horizontal="right" vertical="center"/>
      <protection hidden="1"/>
    </xf>
    <xf numFmtId="0" fontId="37" fillId="0" borderId="17" xfId="0" applyFont="1" applyFill="1" applyBorder="1" applyAlignment="1" applyProtection="1">
      <alignment horizontal="right" vertical="center"/>
      <protection hidden="1"/>
    </xf>
    <xf numFmtId="0" fontId="37" fillId="0" borderId="18" xfId="0" applyFont="1" applyFill="1" applyBorder="1" applyAlignment="1" applyProtection="1">
      <alignment horizontal="right" vertical="center"/>
      <protection hidden="1"/>
    </xf>
    <xf numFmtId="0" fontId="37" fillId="0" borderId="19" xfId="0" applyFont="1" applyFill="1" applyBorder="1" applyAlignment="1" applyProtection="1">
      <alignment horizontal="right" vertical="center"/>
      <protection hidden="1"/>
    </xf>
    <xf numFmtId="170" fontId="22" fillId="0" borderId="11" xfId="0" applyNumberFormat="1" applyFont="1" applyFill="1" applyBorder="1" applyAlignment="1" applyProtection="1">
      <alignment horizontal="right" vertical="center"/>
      <protection hidden="1"/>
    </xf>
    <xf numFmtId="170" fontId="22" fillId="0" borderId="12" xfId="0" applyNumberFormat="1" applyFont="1" applyFill="1" applyBorder="1" applyAlignment="1" applyProtection="1">
      <alignment horizontal="right" vertical="center"/>
      <protection hidden="1"/>
    </xf>
    <xf numFmtId="170" fontId="22" fillId="0" borderId="13" xfId="0" applyNumberFormat="1" applyFont="1" applyFill="1" applyBorder="1" applyAlignment="1" applyProtection="1">
      <alignment horizontal="right" vertical="center"/>
      <protection hidden="1"/>
    </xf>
    <xf numFmtId="0" fontId="41" fillId="0" borderId="14" xfId="0" applyFont="1" applyFill="1" applyBorder="1" applyAlignment="1" applyProtection="1">
      <alignment horizontal="right" vertical="center" wrapText="1"/>
      <protection hidden="1"/>
    </xf>
    <xf numFmtId="0" fontId="41" fillId="0" borderId="15" xfId="0" applyFont="1" applyFill="1" applyBorder="1" applyAlignment="1" applyProtection="1">
      <alignment horizontal="right" vertical="center" wrapText="1"/>
      <protection hidden="1"/>
    </xf>
    <xf numFmtId="0" fontId="41" fillId="0" borderId="16" xfId="0" applyFont="1" applyFill="1" applyBorder="1" applyAlignment="1" applyProtection="1">
      <alignment horizontal="right" vertical="center" wrapText="1"/>
      <protection hidden="1"/>
    </xf>
    <xf numFmtId="0" fontId="41" fillId="0" borderId="20" xfId="0" applyFont="1" applyFill="1" applyBorder="1" applyAlignment="1" applyProtection="1">
      <alignment horizontal="right" vertical="center" wrapText="1"/>
      <protection hidden="1"/>
    </xf>
    <xf numFmtId="0" fontId="41" fillId="0" borderId="0" xfId="0" applyFont="1" applyFill="1" applyBorder="1" applyAlignment="1" applyProtection="1">
      <alignment horizontal="right" vertical="center" wrapText="1"/>
      <protection hidden="1"/>
    </xf>
    <xf numFmtId="0" fontId="41" fillId="0" borderId="21" xfId="0" applyFont="1" applyFill="1" applyBorder="1" applyAlignment="1" applyProtection="1">
      <alignment horizontal="right" vertical="center" wrapText="1"/>
      <protection hidden="1"/>
    </xf>
    <xf numFmtId="0" fontId="44" fillId="0" borderId="20" xfId="0" applyFont="1" applyFill="1" applyBorder="1" applyAlignment="1" applyProtection="1">
      <alignment horizontal="right" vertical="center" wrapText="1"/>
      <protection hidden="1"/>
    </xf>
    <xf numFmtId="0" fontId="44" fillId="0" borderId="0" xfId="0" applyFont="1" applyFill="1" applyBorder="1" applyAlignment="1" applyProtection="1">
      <alignment horizontal="right" vertical="center" wrapText="1"/>
      <protection hidden="1"/>
    </xf>
    <xf numFmtId="0" fontId="44" fillId="0" borderId="21" xfId="0" applyFont="1" applyFill="1" applyBorder="1" applyAlignment="1" applyProtection="1">
      <alignment horizontal="right" vertical="center" wrapText="1"/>
      <protection hidden="1"/>
    </xf>
    <xf numFmtId="0" fontId="44" fillId="0" borderId="17" xfId="0" applyFont="1" applyFill="1" applyBorder="1" applyAlignment="1" applyProtection="1">
      <alignment horizontal="right" vertical="center" wrapText="1"/>
      <protection hidden="1"/>
    </xf>
    <xf numFmtId="0" fontId="44" fillId="0" borderId="18" xfId="0" applyFont="1" applyFill="1" applyBorder="1" applyAlignment="1" applyProtection="1">
      <alignment horizontal="right" vertical="center" wrapText="1"/>
      <protection hidden="1"/>
    </xf>
    <xf numFmtId="0" fontId="44" fillId="0" borderId="19" xfId="0" applyFont="1" applyFill="1" applyBorder="1" applyAlignment="1" applyProtection="1">
      <alignment horizontal="right" vertical="center" wrapText="1"/>
      <protection hidden="1"/>
    </xf>
  </cellXfs>
  <cellStyles count="13">
    <cellStyle name="Comma" xfId="7" builtinId="3"/>
    <cellStyle name="Comma 2" xfId="10"/>
    <cellStyle name="Comma 4" xfId="3"/>
    <cellStyle name="Normal" xfId="0" builtinId="0"/>
    <cellStyle name="Normal 2" xfId="8"/>
    <cellStyle name="Normal 3" xfId="11"/>
    <cellStyle name="Normal 3 2" xfId="12"/>
    <cellStyle name="Normal 4" xfId="2"/>
    <cellStyle name="Num" xfId="4"/>
    <cellStyle name="Num 1D" xfId="6"/>
    <cellStyle name="Percent" xfId="1" builtinId="5"/>
    <cellStyle name="Percent 2" xfId="9"/>
    <cellStyle name="Total 2" xfId="5"/>
  </cellStyles>
  <dxfs count="189">
    <dxf>
      <numFmt numFmtId="178" formatCode="#,##0.000"/>
    </dxf>
    <dxf>
      <numFmt numFmtId="173" formatCode=";;;"/>
      <fill>
        <patternFill>
          <bgColor theme="0"/>
        </patternFill>
      </fill>
    </dxf>
    <dxf>
      <numFmt numFmtId="173" formatCode=";;;"/>
      <fill>
        <patternFill>
          <bgColor theme="0"/>
        </patternFill>
      </fill>
    </dxf>
    <dxf>
      <numFmt numFmtId="174" formatCode="#,##0.000,,"/>
    </dxf>
    <dxf>
      <fill>
        <patternFill>
          <bgColor theme="0"/>
        </patternFill>
      </fill>
    </dxf>
    <dxf>
      <numFmt numFmtId="173" formatCode=";;;"/>
      <fill>
        <patternFill>
          <bgColor theme="0"/>
        </patternFill>
      </fill>
    </dxf>
    <dxf>
      <numFmt numFmtId="173" formatCode=";;;"/>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73" formatCode=";;;"/>
      <fill>
        <patternFill>
          <bgColor theme="0"/>
        </patternFill>
      </fill>
    </dxf>
    <dxf>
      <numFmt numFmtId="172" formatCode="#,##0.00,"/>
    </dxf>
    <dxf>
      <numFmt numFmtId="172" formatCode="#,##0.00,"/>
    </dxf>
    <dxf>
      <numFmt numFmtId="172" formatCode="#,##0.00,"/>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8" formatCode="#,##0.000"/>
    </dxf>
    <dxf>
      <numFmt numFmtId="170" formatCode="#,##0.0"/>
    </dxf>
    <dxf>
      <numFmt numFmtId="173" formatCode=";;;"/>
      <fill>
        <patternFill>
          <bgColor theme="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3" formatCode=";;;"/>
      <fill>
        <patternFill>
          <bgColor theme="0"/>
        </patternFill>
      </fill>
    </dxf>
    <dxf>
      <font>
        <b/>
        <i val="0"/>
      </font>
      <fill>
        <patternFill>
          <bgColor rgb="FFFFC000"/>
        </patternFill>
      </fill>
    </dxf>
    <dxf>
      <font>
        <b/>
        <i val="0"/>
        <color theme="1"/>
      </font>
      <fill>
        <patternFill>
          <bgColor rgb="FF92D05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0" formatCode="#,##0.0"/>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8" formatCode="#,##0.000"/>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font>
        <b/>
        <i val="0"/>
      </font>
      <fill>
        <patternFill>
          <bgColor rgb="FFFFC000"/>
        </patternFill>
      </fill>
    </dxf>
    <dxf>
      <font>
        <b/>
        <i val="0"/>
        <color theme="1"/>
      </font>
      <fill>
        <patternFill>
          <bgColor rgb="FF92D050"/>
        </patternFill>
      </fill>
    </dxf>
    <dxf>
      <numFmt numFmtId="178" formatCode="#,##0.000"/>
    </dxf>
    <dxf>
      <numFmt numFmtId="170" formatCode="#,##0.0"/>
    </dxf>
    <dxf>
      <numFmt numFmtId="173" formatCode=";;;"/>
      <fill>
        <patternFill>
          <bgColor theme="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2" formatCode="#,##0.00,"/>
    </dxf>
    <dxf>
      <numFmt numFmtId="172" formatCode="#,##0.00,"/>
    </dxf>
    <dxf>
      <numFmt numFmtId="172" formatCode="#,##0.00,"/>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ill>
        <patternFill>
          <bgColor theme="0"/>
        </patternFill>
      </fill>
    </dxf>
    <dxf>
      <numFmt numFmtId="178" formatCode="#,##0.000"/>
    </dxf>
    <dxf>
      <numFmt numFmtId="178" formatCode="#,##0.000"/>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color theme="0"/>
      </font>
      <fill>
        <patternFill>
          <bgColor theme="0"/>
        </patternFill>
      </fill>
    </dxf>
    <dxf>
      <font>
        <color theme="0"/>
      </font>
      <fill>
        <patternFill>
          <bgColor theme="0"/>
        </patternFill>
      </fill>
    </dxf>
  </dxfs>
  <tableStyles count="0" defaultTableStyle="TableStyleMedium9" defaultPivotStyle="PivotStyleLight16"/>
  <colors>
    <mruColors>
      <color rgb="FF558ED5"/>
      <color rgb="FFFFE8B9"/>
      <color rgb="FFECF2F8"/>
      <color rgb="FFE3EBF5"/>
      <color rgb="FFEFF4E4"/>
      <color rgb="FFFAFBF7"/>
      <color rgb="FFFFF2C9"/>
      <color rgb="FFFFFFFF"/>
      <color rgb="FFF7F7F7"/>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34.xml"/><Relationship Id="rId1" Type="http://schemas.microsoft.com/office/2011/relationships/chartStyle" Target="style34.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HEADLINES'!$I$13</c:f>
              <c:numCache>
                <c:formatCode>0.0%</c:formatCode>
                <c:ptCount val="1"/>
                <c:pt idx="0">
                  <c:v>6.2082361615420245E-2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HEADLINES'!$I$14</c:f>
              <c:numCache>
                <c:formatCode>0.0%</c:formatCode>
                <c:ptCount val="1"/>
                <c:pt idx="0">
                  <c:v>8.1765533052237549E-2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HEADLINES'!$I$16</c:f>
              <c:numCache>
                <c:formatCode>0.0%</c:formatCode>
                <c:ptCount val="1"/>
                <c:pt idx="0">
                  <c:v>8.005894732566432E-2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HEADLINES'!$I$17</c:f>
              <c:numCache>
                <c:formatCode>0.0%</c:formatCode>
                <c:ptCount val="1"/>
                <c:pt idx="0">
                  <c:v>2.9259471224718503E-2</c:v>
                </c:pt>
              </c:numCache>
            </c:numRef>
          </c:val>
        </c:ser>
        <c:dLbls>
          <c:dLblPos val="outEnd"/>
          <c:showLegendKey val="0"/>
          <c:showVal val="1"/>
          <c:showCatName val="0"/>
          <c:showSerName val="0"/>
          <c:showPercent val="0"/>
          <c:showBubbleSize val="0"/>
        </c:dLbls>
        <c:gapWidth val="0"/>
        <c:overlap val="10"/>
        <c:axId val="254422344"/>
        <c:axId val="199602368"/>
      </c:barChart>
      <c:catAx>
        <c:axId val="254422344"/>
        <c:scaling>
          <c:orientation val="minMax"/>
        </c:scaling>
        <c:delete val="1"/>
        <c:axPos val="b"/>
        <c:majorTickMark val="none"/>
        <c:minorTickMark val="none"/>
        <c:tickLblPos val="nextTo"/>
        <c:crossAx val="199602368"/>
        <c:crosses val="autoZero"/>
        <c:auto val="1"/>
        <c:lblAlgn val="ctr"/>
        <c:lblOffset val="100"/>
        <c:noMultiLvlLbl val="0"/>
      </c:catAx>
      <c:valAx>
        <c:axId val="199602368"/>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54422344"/>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69736842105263"/>
          <c:y val="0"/>
          <c:w val="0.82730263157894735"/>
          <c:h val="0.6863162393162392"/>
        </c:manualLayout>
      </c:layout>
      <c:barChart>
        <c:barDir val="col"/>
        <c:grouping val="clustered"/>
        <c:varyColors val="0"/>
        <c:ser>
          <c:idx val="4"/>
          <c:order val="0"/>
          <c:tx>
            <c:v>Tourist Numbers</c:v>
          </c:tx>
          <c:spPr>
            <a:solidFill>
              <a:srgbClr val="00B050"/>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chemeClr val="accent3"/>
                </a:solidFill>
                <a:prstDash val="sysDash"/>
              </a:ln>
              <a:effectLst/>
            </c:spPr>
            <c:trendlineType val="exp"/>
            <c:dispRSqr val="0"/>
            <c:dispEq val="0"/>
          </c:trendline>
          <c:cat>
            <c:numRef>
              <c:f>'VISITOR NUMBERS'!EIYEARS</c:f>
              <c:numCache>
                <c:formatCode>0</c:formatCode>
                <c:ptCount val="5"/>
                <c:pt idx="0">
                  <c:v>2009</c:v>
                </c:pt>
                <c:pt idx="1">
                  <c:v>2010</c:v>
                </c:pt>
                <c:pt idx="2">
                  <c:v>2011</c:v>
                </c:pt>
                <c:pt idx="3">
                  <c:v>2012</c:v>
                </c:pt>
                <c:pt idx="4">
                  <c:v>2013</c:v>
                </c:pt>
              </c:numCache>
              <c:extLst xmlns:c15="http://schemas.microsoft.com/office/drawing/2012/chart"/>
            </c:numRef>
          </c:cat>
          <c:val>
            <c:numRef>
              <c:f>'VISITOR NUMBERS'!EIVISTYPETOTAL</c:f>
              <c:numCache>
                <c:formatCode>#,##0.00</c:formatCode>
                <c:ptCount val="5"/>
                <c:pt idx="0">
                  <c:v>629.52525395568227</c:v>
                </c:pt>
                <c:pt idx="1">
                  <c:v>636.97276002791421</c:v>
                </c:pt>
                <c:pt idx="2">
                  <c:v>629.41927707778814</c:v>
                </c:pt>
                <c:pt idx="3">
                  <c:v>643.73735169723886</c:v>
                </c:pt>
                <c:pt idx="4">
                  <c:v>700.77906247732744</c:v>
                </c:pt>
              </c:numCache>
            </c:numRef>
          </c:val>
          <c:extLst/>
        </c:ser>
        <c:dLbls>
          <c:showLegendKey val="0"/>
          <c:showVal val="0"/>
          <c:showCatName val="0"/>
          <c:showSerName val="0"/>
          <c:showPercent val="0"/>
          <c:showBubbleSize val="0"/>
        </c:dLbls>
        <c:gapWidth val="75"/>
        <c:axId val="255669344"/>
        <c:axId val="255668952"/>
      </c:barChart>
      <c:valAx>
        <c:axId val="255668952"/>
        <c:scaling>
          <c:orientation val="minMax"/>
        </c:scaling>
        <c:delete val="1"/>
        <c:axPos val="r"/>
        <c:numFmt formatCode="#,##0.00" sourceLinked="1"/>
        <c:majorTickMark val="out"/>
        <c:minorTickMark val="none"/>
        <c:tickLblPos val="nextTo"/>
        <c:crossAx val="255669344"/>
        <c:crosses val="max"/>
        <c:crossBetween val="between"/>
      </c:valAx>
      <c:catAx>
        <c:axId val="255669344"/>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55668952"/>
        <c:crosses val="autoZero"/>
        <c:auto val="1"/>
        <c:lblAlgn val="ctr"/>
        <c:lblOffset val="100"/>
        <c:noMultiLvlLbl val="0"/>
      </c:catAx>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a:noFill/>
        </a:ln>
        <a:effectLst/>
      </c:spPr>
    </c:plotArea>
    <c:legend>
      <c:legendPos val="b"/>
      <c:layout>
        <c:manualLayout>
          <c:xMode val="edge"/>
          <c:yMode val="edge"/>
          <c:x val="7.1815917078161817E-3"/>
          <c:y val="0.90841282051282046"/>
          <c:w val="0.98846189777125315"/>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47191011235955"/>
          <c:y val="0"/>
          <c:w val="0.85252808988764039"/>
          <c:h val="0.6863162393162392"/>
        </c:manualLayout>
      </c:layout>
      <c:barChart>
        <c:barDir val="col"/>
        <c:grouping val="clustered"/>
        <c:varyColors val="0"/>
        <c:ser>
          <c:idx val="4"/>
          <c:order val="0"/>
          <c:tx>
            <c:v>Tourist Days</c:v>
          </c:tx>
          <c:spPr>
            <a:solidFill>
              <a:srgbClr val="FF0000"/>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rgbClr val="FFC000"/>
                </a:solidFill>
                <a:prstDash val="sysDash"/>
              </a:ln>
              <a:effectLst/>
            </c:spPr>
            <c:trendlineType val="exp"/>
            <c:dispRSqr val="0"/>
            <c:dispEq val="0"/>
          </c:trendline>
          <c:cat>
            <c:numRef>
              <c:f>'VISITOR DAYS'!EIYEARS</c:f>
              <c:numCache>
                <c:formatCode>0</c:formatCode>
                <c:ptCount val="5"/>
                <c:pt idx="0">
                  <c:v>2009</c:v>
                </c:pt>
                <c:pt idx="1">
                  <c:v>2010</c:v>
                </c:pt>
                <c:pt idx="2">
                  <c:v>2011</c:v>
                </c:pt>
                <c:pt idx="3">
                  <c:v>2012</c:v>
                </c:pt>
                <c:pt idx="4">
                  <c:v>2013</c:v>
                </c:pt>
              </c:numCache>
              <c:extLst xmlns:c15="http://schemas.microsoft.com/office/drawing/2012/chart"/>
            </c:numRef>
          </c:cat>
          <c:val>
            <c:numRef>
              <c:f>'VISITOR DAYS'!EIVISTYPETOTAL</c:f>
              <c:numCache>
                <c:formatCode>#,##0.00</c:formatCode>
                <c:ptCount val="5"/>
                <c:pt idx="0">
                  <c:v>1678.5141259630402</c:v>
                </c:pt>
                <c:pt idx="1">
                  <c:v>1735.0559745573655</c:v>
                </c:pt>
                <c:pt idx="2">
                  <c:v>1654.2781109076282</c:v>
                </c:pt>
                <c:pt idx="3">
                  <c:v>1639.9667041818218</c:v>
                </c:pt>
                <c:pt idx="4">
                  <c:v>1749.0039133046166</c:v>
                </c:pt>
              </c:numCache>
            </c:numRef>
          </c:val>
          <c:extLst/>
        </c:ser>
        <c:dLbls>
          <c:showLegendKey val="0"/>
          <c:showVal val="0"/>
          <c:showCatName val="0"/>
          <c:showSerName val="0"/>
          <c:showPercent val="0"/>
          <c:showBubbleSize val="0"/>
        </c:dLbls>
        <c:gapWidth val="75"/>
        <c:axId val="255670520"/>
        <c:axId val="255670128"/>
      </c:barChart>
      <c:valAx>
        <c:axId val="255670128"/>
        <c:scaling>
          <c:orientation val="minMax"/>
        </c:scaling>
        <c:delete val="1"/>
        <c:axPos val="r"/>
        <c:numFmt formatCode="#,##0.00" sourceLinked="1"/>
        <c:majorTickMark val="out"/>
        <c:minorTickMark val="none"/>
        <c:tickLblPos val="nextTo"/>
        <c:crossAx val="255670520"/>
        <c:crosses val="max"/>
        <c:crossBetween val="between"/>
      </c:valAx>
      <c:catAx>
        <c:axId val="255670520"/>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55670128"/>
        <c:crosses val="autoZero"/>
        <c:auto val="1"/>
        <c:lblAlgn val="ctr"/>
        <c:lblOffset val="100"/>
        <c:noMultiLvlLbl val="0"/>
      </c:catAx>
      <c:spPr>
        <a:gradFill flip="none" rotWithShape="1">
          <a:gsLst>
            <a:gs pos="0">
              <a:schemeClr val="accent2">
                <a:lumMod val="5000"/>
                <a:lumOff val="95000"/>
              </a:schemeClr>
            </a:gs>
            <a:gs pos="74000">
              <a:schemeClr val="accent2">
                <a:lumMod val="45000"/>
                <a:lumOff val="55000"/>
              </a:schemeClr>
            </a:gs>
            <a:gs pos="83000">
              <a:schemeClr val="accent2">
                <a:lumMod val="45000"/>
                <a:lumOff val="55000"/>
              </a:schemeClr>
            </a:gs>
            <a:gs pos="100000">
              <a:schemeClr val="accent2">
                <a:lumMod val="30000"/>
                <a:lumOff val="70000"/>
              </a:schemeClr>
            </a:gs>
          </a:gsLst>
          <a:lin ang="5400000" scaled="1"/>
          <a:tileRect/>
        </a:gradFill>
        <a:ln>
          <a:noFill/>
        </a:ln>
        <a:effectLst/>
      </c:spPr>
    </c:plotArea>
    <c:legend>
      <c:legendPos val="b"/>
      <c:layout>
        <c:manualLayout>
          <c:xMode val="edge"/>
          <c:yMode val="edge"/>
          <c:x val="4.4057331403455436E-3"/>
          <c:y val="0.90841282051282046"/>
          <c:w val="0.99118853371930871"/>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72421281216069"/>
          <c:y val="0"/>
          <c:w val="0.82627578718783934"/>
          <c:h val="0.6863162393162392"/>
        </c:manualLayout>
      </c:layout>
      <c:barChart>
        <c:barDir val="col"/>
        <c:grouping val="clustered"/>
        <c:varyColors val="0"/>
        <c:ser>
          <c:idx val="4"/>
          <c:order val="0"/>
          <c:tx>
            <c:v>EMPLOYMENT</c:v>
          </c:tx>
          <c:spPr>
            <a:solidFill>
              <a:schemeClr val="accent6"/>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chemeClr val="accent6">
                    <a:lumMod val="75000"/>
                  </a:schemeClr>
                </a:solidFill>
                <a:prstDash val="sysDash"/>
              </a:ln>
              <a:effectLst/>
            </c:spPr>
            <c:trendlineType val="exp"/>
            <c:dispRSqr val="0"/>
            <c:dispEq val="0"/>
          </c:trendline>
          <c:cat>
            <c:numRef>
              <c:f>EMPLOYMENT!EIYEARS</c:f>
              <c:numCache>
                <c:formatCode>0</c:formatCode>
                <c:ptCount val="5"/>
                <c:pt idx="0">
                  <c:v>2009</c:v>
                </c:pt>
                <c:pt idx="1">
                  <c:v>2010</c:v>
                </c:pt>
                <c:pt idx="2">
                  <c:v>2011</c:v>
                </c:pt>
                <c:pt idx="3">
                  <c:v>2012</c:v>
                </c:pt>
                <c:pt idx="4">
                  <c:v>2013</c:v>
                </c:pt>
              </c:numCache>
            </c:numRef>
          </c:cat>
          <c:val>
            <c:numRef>
              <c:f>EMPLOYMENT!EIVISTYPETOTAL</c:f>
              <c:numCache>
                <c:formatCode>#,##0</c:formatCode>
                <c:ptCount val="5"/>
                <c:pt idx="0">
                  <c:v>2671.3198065491024</c:v>
                </c:pt>
                <c:pt idx="1">
                  <c:v>2670.8951771999168</c:v>
                </c:pt>
                <c:pt idx="2">
                  <c:v>2577.7051330017935</c:v>
                </c:pt>
                <c:pt idx="3">
                  <c:v>2586.9651405550908</c:v>
                </c:pt>
                <c:pt idx="4">
                  <c:v>2680.4146422707395</c:v>
                </c:pt>
              </c:numCache>
            </c:numRef>
          </c:val>
        </c:ser>
        <c:dLbls>
          <c:showLegendKey val="0"/>
          <c:showVal val="0"/>
          <c:showCatName val="0"/>
          <c:showSerName val="0"/>
          <c:showPercent val="0"/>
          <c:showBubbleSize val="0"/>
        </c:dLbls>
        <c:gapWidth val="75"/>
        <c:axId val="255671696"/>
        <c:axId val="255671304"/>
      </c:barChart>
      <c:valAx>
        <c:axId val="255671304"/>
        <c:scaling>
          <c:orientation val="minMax"/>
        </c:scaling>
        <c:delete val="1"/>
        <c:axPos val="r"/>
        <c:numFmt formatCode="#,##0" sourceLinked="1"/>
        <c:majorTickMark val="out"/>
        <c:minorTickMark val="none"/>
        <c:tickLblPos val="nextTo"/>
        <c:crossAx val="255671696"/>
        <c:crosses val="max"/>
        <c:crossBetween val="between"/>
      </c:valAx>
      <c:catAx>
        <c:axId val="255671696"/>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255671304"/>
        <c:crosses val="autoZero"/>
        <c:auto val="1"/>
        <c:lblAlgn val="ctr"/>
        <c:lblOffset val="100"/>
        <c:noMultiLvlLbl val="0"/>
      </c:catAx>
      <c:spPr>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a:noFill/>
        </a:ln>
        <a:effectLst/>
      </c:spPr>
    </c:plotArea>
    <c:legend>
      <c:legendPos val="b"/>
      <c:layout>
        <c:manualLayout>
          <c:xMode val="edge"/>
          <c:yMode val="edge"/>
          <c:x val="5.8901641532096705E-3"/>
          <c:y val="0.90841282051282046"/>
          <c:w val="0.98821967169358094"/>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13504953452725502"/>
          <c:w val="0.8086810107611232"/>
          <c:h val="0.86495046547274501"/>
        </c:manualLayout>
      </c:layout>
      <c:pieChart>
        <c:varyColors val="1"/>
        <c:dLbls>
          <c:dLblPos val="inEnd"/>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chemeClr val="accent1">
                  <a:alpha val="40000"/>
                </a:scheme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chemeClr val="accent1">
                    <a:alpha val="40000"/>
                  </a:scheme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chemeClr val="accent1">
                    <a:alpha val="40000"/>
                  </a:schemeClr>
                </a:outerShdw>
              </a:effectLst>
            </c:spPr>
          </c:dPt>
          <c:dPt>
            <c:idx val="2"/>
            <c:bubble3D val="0"/>
            <c:spPr>
              <a:solidFill>
                <a:schemeClr val="accent3"/>
              </a:solidFill>
              <a:ln w="19050">
                <a:solidFill>
                  <a:schemeClr val="bg1"/>
                </a:solidFill>
              </a:ln>
              <a:effectLst>
                <a:outerShdw blurRad="190500" sx="102000" sy="102000" algn="ctr" rotWithShape="0">
                  <a:schemeClr val="accent1">
                    <a:alpha val="40000"/>
                  </a:schemeClr>
                </a:outerShdw>
              </a:effectLst>
            </c:spPr>
          </c:dPt>
          <c:dPt>
            <c:idx val="3"/>
            <c:bubble3D val="0"/>
            <c:spPr>
              <a:solidFill>
                <a:srgbClr val="FFFF00"/>
              </a:solidFill>
              <a:ln w="19050">
                <a:solidFill>
                  <a:schemeClr val="bg1"/>
                </a:solidFill>
              </a:ln>
              <a:effectLst>
                <a:outerShdw blurRad="190500" sx="102000" sy="102000" algn="ctr" rotWithShape="0">
                  <a:schemeClr val="accent1">
                    <a:alpha val="40000"/>
                  </a:schemeClr>
                </a:outerShdw>
              </a:effectLst>
            </c:spPr>
          </c:dPt>
          <c:dPt>
            <c:idx val="4"/>
            <c:bubble3D val="0"/>
            <c:spPr>
              <a:solidFill>
                <a:srgbClr val="FFFF00"/>
              </a:solidFill>
              <a:ln w="19050">
                <a:solidFill>
                  <a:schemeClr val="bg1"/>
                </a:solidFill>
              </a:ln>
              <a:effectLst>
                <a:outerShdw blurRad="190500" sx="102000" sy="102000" algn="ctr" rotWithShape="0">
                  <a:schemeClr val="accent1">
                    <a:alpha val="40000"/>
                  </a:schemeClr>
                </a:outerShdw>
              </a:effectLst>
            </c:spPr>
          </c:dPt>
          <c:dPt>
            <c:idx val="5"/>
            <c:bubble3D val="0"/>
            <c:spPr>
              <a:solidFill>
                <a:schemeClr val="accent6"/>
              </a:solidFill>
              <a:ln w="19050">
                <a:solidFill>
                  <a:schemeClr val="bg1"/>
                </a:solidFill>
              </a:ln>
              <a:effectLst>
                <a:outerShdw blurRad="190500" sx="102000" sy="102000" algn="ctr" rotWithShape="0">
                  <a:schemeClr val="accent1">
                    <a:alpha val="40000"/>
                  </a:schemeClr>
                </a:outerShdw>
              </a:effectLst>
            </c:spPr>
          </c:dPt>
          <c:dLbls>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val>
            <c:numRef>
              <c:f>'VISITOR TYPE DISTRIBUTION'!$G$12:$G$15</c:f>
              <c:numCache>
                <c:formatCode>;;;</c:formatCode>
                <c:ptCount val="4"/>
                <c:pt idx="0">
                  <c:v>45078.028695324305</c:v>
                </c:pt>
                <c:pt idx="1">
                  <c:v>21237.500543131937</c:v>
                </c:pt>
                <c:pt idx="2">
                  <c:v>14154.86925382176</c:v>
                </c:pt>
                <c:pt idx="3">
                  <c:v>14157.493048568762</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DISTRIBUTION'!$G$10,'VISITOR TYPE DISTRIBUTION'!$G$11)</c:f>
              <c:numCache>
                <c:formatCode>;;;</c:formatCode>
                <c:ptCount val="2"/>
                <c:pt idx="0">
                  <c:v>80470.398492278007</c:v>
                </c:pt>
                <c:pt idx="1">
                  <c:v>14157.493048568762</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rgbClr val="00B050">
                  <a:alpha val="40000"/>
                </a:srgb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rgbClr val="00B050">
                    <a:alpha val="40000"/>
                  </a:srgb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rgbClr val="00B050">
                    <a:alpha val="40000"/>
                  </a:srgbClr>
                </a:outerShdw>
              </a:effectLst>
            </c:spPr>
          </c:dPt>
          <c:dPt>
            <c:idx val="2"/>
            <c:bubble3D val="0"/>
            <c:spPr>
              <a:solidFill>
                <a:schemeClr val="accent3"/>
              </a:solidFill>
              <a:ln w="19050">
                <a:solidFill>
                  <a:schemeClr val="bg1"/>
                </a:solidFill>
              </a:ln>
              <a:effectLst>
                <a:outerShdw blurRad="190500" sx="102000" sy="102000" algn="ctr" rotWithShape="0">
                  <a:srgbClr val="00B050">
                    <a:alpha val="40000"/>
                  </a:srgbClr>
                </a:outerShdw>
              </a:effectLst>
            </c:spPr>
          </c:dPt>
          <c:dPt>
            <c:idx val="3"/>
            <c:bubble3D val="0"/>
            <c:spPr>
              <a:solidFill>
                <a:srgbClr val="FFFF00"/>
              </a:solidFill>
              <a:ln w="19050">
                <a:solidFill>
                  <a:schemeClr val="bg1"/>
                </a:solidFill>
              </a:ln>
              <a:effectLst>
                <a:outerShdw blurRad="190500" sx="102000" sy="102000" algn="ctr" rotWithShape="0">
                  <a:srgbClr val="00B050">
                    <a:alpha val="40000"/>
                  </a:srgbClr>
                </a:outerShdw>
              </a:effectLst>
            </c:spPr>
          </c:dPt>
          <c:dPt>
            <c:idx val="4"/>
            <c:bubble3D val="0"/>
            <c:spPr>
              <a:solidFill>
                <a:srgbClr val="FFFF00"/>
              </a:solidFill>
              <a:ln w="19050">
                <a:solidFill>
                  <a:schemeClr val="bg1"/>
                </a:solidFill>
              </a:ln>
              <a:effectLst>
                <a:outerShdw blurRad="190500" sx="102000" sy="102000" algn="ctr" rotWithShape="0">
                  <a:srgbClr val="00B050">
                    <a:alpha val="40000"/>
                  </a:srgbClr>
                </a:outerShdw>
              </a:effectLst>
            </c:spPr>
          </c:dPt>
          <c:dPt>
            <c:idx val="5"/>
            <c:bubble3D val="0"/>
            <c:spPr>
              <a:solidFill>
                <a:schemeClr val="accent6"/>
              </a:solidFill>
              <a:ln w="19050">
                <a:solidFill>
                  <a:schemeClr val="bg1"/>
                </a:solidFill>
              </a:ln>
              <a:effectLst>
                <a:outerShdw blurRad="190500" sx="102000" sy="102000" algn="ctr" rotWithShape="0">
                  <a:srgbClr val="00B050">
                    <a:alpha val="40000"/>
                  </a:srgbClr>
                </a:outerShdw>
              </a:effectLst>
            </c:spPr>
          </c:dPt>
          <c:dLbls>
            <c:dLbl>
              <c:idx val="0"/>
              <c:layout>
                <c:manualLayout>
                  <c:x val="-3.206627366544651E-2"/>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8.0165684163616274E-3"/>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2.8057989457265769E-2"/>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extLst>
          </c:dLbls>
          <c:val>
            <c:numRef>
              <c:f>'VISITOR TYPE DISTRIBUTION'!$I$12:$I$15</c:f>
              <c:numCache>
                <c:formatCode>;;;</c:formatCode>
                <c:ptCount val="4"/>
                <c:pt idx="0">
                  <c:v>228.66376542239146</c:v>
                </c:pt>
                <c:pt idx="1">
                  <c:v>66.886254634613451</c:v>
                </c:pt>
                <c:pt idx="2">
                  <c:v>116.04619553770891</c:v>
                </c:pt>
                <c:pt idx="3">
                  <c:v>289.1828468826136</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DISTRIBUTION'!$I$10,'VISITOR TYPE DISTRIBUTION'!$I$11)</c:f>
              <c:numCache>
                <c:formatCode>;;;</c:formatCode>
                <c:ptCount val="2"/>
                <c:pt idx="0">
                  <c:v>411.59621559471384</c:v>
                </c:pt>
                <c:pt idx="1">
                  <c:v>289.1828468826136</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rgbClr val="FF0000">
                  <a:alpha val="40000"/>
                </a:srgb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rgbClr val="FF0000">
                    <a:alpha val="40000"/>
                  </a:srgb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rgbClr val="FF0000">
                    <a:alpha val="40000"/>
                  </a:srgbClr>
                </a:outerShdw>
              </a:effectLst>
            </c:spPr>
          </c:dPt>
          <c:dPt>
            <c:idx val="2"/>
            <c:bubble3D val="0"/>
            <c:spPr>
              <a:solidFill>
                <a:schemeClr val="accent3"/>
              </a:solidFill>
              <a:ln w="19050">
                <a:solidFill>
                  <a:schemeClr val="bg1"/>
                </a:solidFill>
              </a:ln>
              <a:effectLst>
                <a:outerShdw blurRad="190500" sx="102000" sy="102000" algn="ctr" rotWithShape="0">
                  <a:srgbClr val="FF0000">
                    <a:alpha val="40000"/>
                  </a:srgbClr>
                </a:outerShdw>
              </a:effectLst>
            </c:spPr>
          </c:dPt>
          <c:dPt>
            <c:idx val="3"/>
            <c:bubble3D val="0"/>
            <c:spPr>
              <a:solidFill>
                <a:srgbClr val="FFFF00"/>
              </a:solidFill>
              <a:ln w="19050">
                <a:solidFill>
                  <a:schemeClr val="bg1"/>
                </a:solidFill>
              </a:ln>
              <a:effectLst>
                <a:outerShdw blurRad="190500" sx="102000" sy="102000" algn="ctr" rotWithShape="0">
                  <a:srgbClr val="FF0000">
                    <a:alpha val="40000"/>
                  </a:srgbClr>
                </a:outerShdw>
              </a:effectLst>
            </c:spPr>
          </c:dPt>
          <c:dPt>
            <c:idx val="4"/>
            <c:bubble3D val="0"/>
            <c:spPr>
              <a:solidFill>
                <a:srgbClr val="FFFF00"/>
              </a:solidFill>
              <a:ln w="19050">
                <a:solidFill>
                  <a:schemeClr val="bg1"/>
                </a:solidFill>
              </a:ln>
              <a:effectLst>
                <a:outerShdw blurRad="190500" sx="102000" sy="102000" algn="ctr" rotWithShape="0">
                  <a:srgbClr val="FF0000">
                    <a:alpha val="40000"/>
                  </a:srgbClr>
                </a:outerShdw>
              </a:effectLst>
            </c:spPr>
          </c:dPt>
          <c:dPt>
            <c:idx val="5"/>
            <c:bubble3D val="0"/>
            <c:spPr>
              <a:solidFill>
                <a:schemeClr val="accent6"/>
              </a:solidFill>
              <a:ln w="19050">
                <a:solidFill>
                  <a:schemeClr val="bg1"/>
                </a:solidFill>
              </a:ln>
              <a:effectLst>
                <a:outerShdw blurRad="190500" sx="102000" sy="102000" algn="ctr" rotWithShape="0">
                  <a:srgbClr val="FF0000">
                    <a:alpha val="40000"/>
                  </a:srgbClr>
                </a:outerShdw>
              </a:effectLst>
            </c:spPr>
          </c:dPt>
          <c:dLbls>
            <c:dLbl>
              <c:idx val="1"/>
              <c:layout>
                <c:manualLayout>
                  <c:x val="4.1052588365695702E-3"/>
                  <c:y val="9.9502448582893185E-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1.2315776509708937E-2"/>
                  <c:y val="1.990048971657863E-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15:layout/>
              </c:ext>
            </c:extLst>
          </c:dLbls>
          <c:val>
            <c:numRef>
              <c:f>'VISITOR TYPE DISTRIBUTION'!$H$12:$H$15</c:f>
              <c:numCache>
                <c:formatCode>;;;</c:formatCode>
                <c:ptCount val="4"/>
                <c:pt idx="0">
                  <c:v>437.4696870178675</c:v>
                </c:pt>
                <c:pt idx="1">
                  <c:v>498.23014280166751</c:v>
                </c:pt>
                <c:pt idx="2">
                  <c:v>524.121236602468</c:v>
                </c:pt>
                <c:pt idx="3">
                  <c:v>289.1828468826136</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DISTRIBUTION'!$H$10,'VISITOR TYPE DISTRIBUTION'!$H$11)</c:f>
              <c:numCache>
                <c:formatCode>;;;</c:formatCode>
                <c:ptCount val="2"/>
                <c:pt idx="0">
                  <c:v>1459.821066422003</c:v>
                </c:pt>
                <c:pt idx="1">
                  <c:v>289.1828468826136</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10403230197885015"/>
          <c:w val="0.54095371729888631"/>
          <c:h val="0.88213643937661324"/>
        </c:manualLayout>
      </c:layout>
      <c:doughnutChart>
        <c:varyColors val="1"/>
        <c:ser>
          <c:idx val="0"/>
          <c:order val="0"/>
          <c:tx>
            <c:strRef>
              <c:f>'COMPARATIVE HEADLINES'!$J$26</c:f>
              <c:strCache>
                <c:ptCount val="1"/>
                <c:pt idx="0">
                  <c:v>2013</c:v>
                </c:pt>
              </c:strCache>
            </c:strRef>
          </c:tx>
          <c:explosion val="2"/>
          <c:dPt>
            <c:idx val="0"/>
            <c:bubble3D val="0"/>
            <c:spPr>
              <a:solidFill>
                <a:schemeClr val="tx2"/>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Pt>
            <c:idx val="2"/>
            <c:bubble3D val="0"/>
            <c:spPr>
              <a:solidFill>
                <a:schemeClr val="accent6">
                  <a:lumMod val="75000"/>
                </a:schemeClr>
              </a:solidFill>
              <a:ln>
                <a:noFill/>
              </a:ln>
              <a:effectLst>
                <a:outerShdw blurRad="254000" sx="102000" sy="102000" algn="ctr" rotWithShape="0">
                  <a:prstClr val="black">
                    <a:alpha val="20000"/>
                  </a:prstClr>
                </a:outerShdw>
              </a:effectLst>
            </c:spPr>
          </c:dPt>
          <c:dPt>
            <c:idx val="3"/>
            <c:bubble3D val="0"/>
            <c:spPr>
              <a:solidFill>
                <a:schemeClr val="accent1"/>
              </a:solidFill>
              <a:ln>
                <a:noFill/>
              </a:ln>
              <a:effectLst>
                <a:outerShdw blurRad="254000" sx="102000" sy="102000" algn="ctr" rotWithShape="0">
                  <a:prstClr val="black">
                    <a:alpha val="20000"/>
                  </a:prstClr>
                </a:outerShdw>
              </a:effectLst>
            </c:spPr>
          </c:dPt>
          <c:dPt>
            <c:idx val="4"/>
            <c:bubble3D val="0"/>
            <c:spPr>
              <a:solidFill>
                <a:schemeClr val="accent4">
                  <a:lumMod val="60000"/>
                  <a:lumOff val="40000"/>
                </a:schemeClr>
              </a:solidFill>
              <a:ln>
                <a:noFill/>
              </a:ln>
              <a:effectLst>
                <a:outerShdw blurRad="254000" sx="102000" sy="102000" algn="ctr" rotWithShape="0">
                  <a:prstClr val="black">
                    <a:alpha val="20000"/>
                  </a:prstClr>
                </a:outerShdw>
              </a:effectLst>
            </c:spPr>
          </c:dPt>
          <c:dPt>
            <c:idx val="5"/>
            <c:bubble3D val="0"/>
            <c:spPr>
              <a:solidFill>
                <a:schemeClr val="accent3">
                  <a:lumMod val="75000"/>
                </a:schemeClr>
              </a:solidFill>
              <a:ln>
                <a:noFill/>
              </a:ln>
              <a:effectLst>
                <a:outerShdw blurRad="254000" sx="102000" sy="102000" algn="ctr" rotWithShape="0">
                  <a:prstClr val="black">
                    <a:alpha val="20000"/>
                  </a:prstClr>
                </a:outerShdw>
              </a:effectLst>
            </c:spPr>
          </c:dPt>
          <c:dLbls>
            <c:numFmt formatCode="0.0%" sourceLinked="0"/>
            <c:spPr>
              <a:noFill/>
              <a:ln>
                <a:noFill/>
              </a:ln>
              <a:effectLst/>
            </c:spPr>
            <c:txPr>
              <a:bodyPr rot="0" spcFirstLastPara="1" vertOverflow="overflow" horzOverflow="overflow" vert="horz" wrap="square" lIns="0" tIns="0" rIns="0" bIns="0" anchor="t" anchorCtr="0">
                <a:spAutoFit/>
              </a:bodyPr>
              <a:lstStyle/>
              <a:p>
                <a:pPr>
                  <a:defRPr sz="1000" b="1" i="0" u="none" strike="noStrike" kern="1200" baseline="0">
                    <a:solidFill>
                      <a:schemeClr val="lt1"/>
                    </a:solidFill>
                    <a:effectLst>
                      <a:outerShdw blurRad="457200" dir="6120000" algn="ctr" rotWithShape="0">
                        <a:schemeClr val="tx1"/>
                      </a:outerShdw>
                    </a:effectLst>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rect">
                    <a:avLst/>
                  </a:prstGeom>
                  <a:pattFill prst="pct75">
                    <a:fgClr>
                      <a:schemeClr val="dk1">
                        <a:lumMod val="75000"/>
                        <a:lumOff val="25000"/>
                      </a:schemeClr>
                    </a:fgClr>
                    <a:bgClr>
                      <a:schemeClr val="dk1">
                        <a:lumMod val="65000"/>
                        <a:lumOff val="35000"/>
                      </a:schemeClr>
                    </a:bgClr>
                  </a:pattFill>
                  <a:ln>
                    <a:noFill/>
                  </a:ln>
                </c15:spPr>
                <c15:layout/>
              </c:ext>
            </c:extLst>
          </c:dLbls>
          <c:cat>
            <c:strRef>
              <c:f>('COMPARATIVE HEADLINES'!$M$27:$O$31,'COMPARATIVE HEADLINES'!$M$33:$O$33)</c:f>
              <c:strCache>
                <c:ptCount val="6"/>
                <c:pt idx="0">
                  <c:v>Accommodation</c:v>
                </c:pt>
                <c:pt idx="1">
                  <c:v>Food &amp; Drink</c:v>
                </c:pt>
                <c:pt idx="2">
                  <c:v>Recreation</c:v>
                </c:pt>
                <c:pt idx="3">
                  <c:v>Shopping</c:v>
                </c:pt>
                <c:pt idx="4">
                  <c:v>Transport</c:v>
                </c:pt>
                <c:pt idx="5">
                  <c:v>Indirect</c:v>
                </c:pt>
              </c:strCache>
            </c:strRef>
          </c:cat>
          <c:val>
            <c:numRef>
              <c:f>('COMPARATIVE HEADLINES'!$J$27:$J$31,'COMPARATIVE HEADLINES'!$J$33)</c:f>
              <c:numCache>
                <c:formatCode>#,##0.00</c:formatCode>
                <c:ptCount val="6"/>
                <c:pt idx="0">
                  <c:v>19.406690037058141</c:v>
                </c:pt>
                <c:pt idx="1">
                  <c:v>16.659065904341041</c:v>
                </c:pt>
                <c:pt idx="2">
                  <c:v>7.3601712696607535</c:v>
                </c:pt>
                <c:pt idx="3">
                  <c:v>9.6573712329010934</c:v>
                </c:pt>
                <c:pt idx="4">
                  <c:v>19.064411519402572</c:v>
                </c:pt>
                <c:pt idx="5">
                  <c:v>22.480181577483165</c:v>
                </c:pt>
              </c:numCache>
            </c:numRef>
          </c:val>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l"/>
      <c:layout>
        <c:manualLayout>
          <c:xMode val="edge"/>
          <c:yMode val="edge"/>
          <c:x val="0.58100065416419422"/>
          <c:y val="2.8315962579366374E-2"/>
          <c:w val="0.41283003318238692"/>
          <c:h val="0.9433119874538502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chemeClr val="accent6">
                  <a:alpha val="40000"/>
                </a:scheme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chemeClr val="accent6">
                    <a:alpha val="40000"/>
                  </a:scheme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chemeClr val="accent6">
                    <a:alpha val="40000"/>
                  </a:schemeClr>
                </a:outerShdw>
              </a:effectLst>
            </c:spPr>
          </c:dPt>
          <c:dPt>
            <c:idx val="2"/>
            <c:bubble3D val="0"/>
            <c:spPr>
              <a:solidFill>
                <a:schemeClr val="accent3"/>
              </a:solidFill>
              <a:ln w="19050">
                <a:solidFill>
                  <a:schemeClr val="bg1"/>
                </a:solidFill>
              </a:ln>
              <a:effectLst>
                <a:outerShdw blurRad="190500" sx="102000" sy="102000" algn="ctr" rotWithShape="0">
                  <a:schemeClr val="accent6">
                    <a:alpha val="40000"/>
                  </a:schemeClr>
                </a:outerShdw>
              </a:effectLst>
            </c:spPr>
          </c:dPt>
          <c:dPt>
            <c:idx val="3"/>
            <c:bubble3D val="0"/>
            <c:spPr>
              <a:solidFill>
                <a:srgbClr val="FFFF00"/>
              </a:solidFill>
              <a:ln w="19050">
                <a:solidFill>
                  <a:schemeClr val="bg1"/>
                </a:solidFill>
              </a:ln>
              <a:effectLst>
                <a:outerShdw blurRad="190500" sx="102000" sy="102000" algn="ctr" rotWithShape="0">
                  <a:schemeClr val="accent6">
                    <a:alpha val="40000"/>
                  </a:schemeClr>
                </a:outerShdw>
              </a:effectLst>
            </c:spPr>
          </c:dPt>
          <c:dPt>
            <c:idx val="4"/>
            <c:bubble3D val="0"/>
            <c:spPr>
              <a:solidFill>
                <a:srgbClr val="FFFF00"/>
              </a:solidFill>
              <a:ln w="19050">
                <a:solidFill>
                  <a:schemeClr val="bg1"/>
                </a:solidFill>
              </a:ln>
              <a:effectLst>
                <a:outerShdw blurRad="190500" sx="102000" sy="102000" algn="ctr" rotWithShape="0">
                  <a:schemeClr val="accent6">
                    <a:alpha val="40000"/>
                  </a:schemeClr>
                </a:outerShdw>
              </a:effectLst>
            </c:spPr>
          </c:dPt>
          <c:dPt>
            <c:idx val="5"/>
            <c:bubble3D val="0"/>
            <c:spPr>
              <a:solidFill>
                <a:schemeClr val="accent6"/>
              </a:solidFill>
              <a:ln w="19050">
                <a:solidFill>
                  <a:schemeClr val="bg1"/>
                </a:solidFill>
              </a:ln>
              <a:effectLst>
                <a:outerShdw blurRad="190500" sx="102000" sy="102000" algn="ctr" rotWithShape="0">
                  <a:schemeClr val="accent6">
                    <a:alpha val="40000"/>
                  </a:schemeClr>
                </a:outerShdw>
              </a:effectLst>
            </c:spPr>
          </c:dPt>
          <c:dLbls>
            <c:dLbl>
              <c:idx val="0"/>
              <c:layout>
                <c:manualLayout>
                  <c:x val="-3.6074557873627323E-2"/>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2.4049705249084879E-2"/>
                  <c:y val="4.9751224291446593E-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15:layout/>
              </c:ext>
            </c:extLst>
          </c:dLbls>
          <c:val>
            <c:numRef>
              <c:f>'VISITOR TYPE DISTRIBUTION'!$J$12:$J$15</c:f>
              <c:numCache>
                <c:formatCode>;;;</c:formatCode>
                <c:ptCount val="4"/>
                <c:pt idx="0">
                  <c:v>1374.7079044578929</c:v>
                </c:pt>
                <c:pt idx="1">
                  <c:v>540.18453310661721</c:v>
                </c:pt>
                <c:pt idx="2">
                  <c:v>186.25324019077183</c:v>
                </c:pt>
                <c:pt idx="3">
                  <c:v>186.39756808206346</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DISTRIBUTION'!$J$10,'VISITOR TYPE DISTRIBUTION'!$J$11)</c:f>
              <c:numCache>
                <c:formatCode>;;;</c:formatCode>
                <c:ptCount val="2"/>
                <c:pt idx="0">
                  <c:v>2101.1456777552821</c:v>
                </c:pt>
                <c:pt idx="1">
                  <c:v>186.39756808206346</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DISTRIBUTION'!$E$44</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DISTRIBUTION'!$F$44:$Q$44</c:f>
              <c:numCache>
                <c:formatCode>#,##0.0</c:formatCode>
                <c:ptCount val="12"/>
                <c:pt idx="0">
                  <c:v>3448.819852821036</c:v>
                </c:pt>
                <c:pt idx="1">
                  <c:v>3233.1769326742187</c:v>
                </c:pt>
                <c:pt idx="2">
                  <c:v>4706.5753729039261</c:v>
                </c:pt>
                <c:pt idx="3">
                  <c:v>3104.4168837701627</c:v>
                </c:pt>
                <c:pt idx="4">
                  <c:v>2995.3502049392505</c:v>
                </c:pt>
                <c:pt idx="5">
                  <c:v>3734.8470342147843</c:v>
                </c:pt>
                <c:pt idx="6">
                  <c:v>6232.2400424892894</c:v>
                </c:pt>
                <c:pt idx="7">
                  <c:v>6199.1884772924059</c:v>
                </c:pt>
                <c:pt idx="8">
                  <c:v>4286.9175128766856</c:v>
                </c:pt>
                <c:pt idx="9">
                  <c:v>3451.5296953815396</c:v>
                </c:pt>
                <c:pt idx="10">
                  <c:v>2114.8167968538178</c:v>
                </c:pt>
                <c:pt idx="11">
                  <c:v>1570.1498891071878</c:v>
                </c:pt>
              </c:numCache>
            </c:numRef>
          </c:val>
        </c:ser>
        <c:ser>
          <c:idx val="1"/>
          <c:order val="1"/>
          <c:tx>
            <c:strRef>
              <c:f>'MONTHLY DISTRIBUTION'!$E$45</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DISTRIBUTION'!$F$45:$Q$45</c:f>
              <c:numCache>
                <c:formatCode>#,##0.0</c:formatCode>
                <c:ptCount val="12"/>
                <c:pt idx="0">
                  <c:v>161.21793853832932</c:v>
                </c:pt>
                <c:pt idx="1">
                  <c:v>260.90411746638426</c:v>
                </c:pt>
                <c:pt idx="2">
                  <c:v>682.36664190825957</c:v>
                </c:pt>
                <c:pt idx="3">
                  <c:v>2191.3600299402065</c:v>
                </c:pt>
                <c:pt idx="4">
                  <c:v>2667.4553145201107</c:v>
                </c:pt>
                <c:pt idx="5">
                  <c:v>2863.7850296914785</c:v>
                </c:pt>
                <c:pt idx="6">
                  <c:v>3753.9290373447398</c:v>
                </c:pt>
                <c:pt idx="7">
                  <c:v>3745.3970225194421</c:v>
                </c:pt>
                <c:pt idx="8">
                  <c:v>2329.059721408129</c:v>
                </c:pt>
                <c:pt idx="9">
                  <c:v>1904.3384656213734</c:v>
                </c:pt>
                <c:pt idx="10">
                  <c:v>399.99408367211151</c:v>
                </c:pt>
                <c:pt idx="11">
                  <c:v>277.69314050137183</c:v>
                </c:pt>
              </c:numCache>
            </c:numRef>
          </c:val>
        </c:ser>
        <c:ser>
          <c:idx val="2"/>
          <c:order val="2"/>
          <c:tx>
            <c:strRef>
              <c:f>'MONTHLY DISTRIBUTION'!$E$46</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DISTRIBUTION'!$F$46:$Q$46</c:f>
              <c:numCache>
                <c:formatCode>#,##0.0</c:formatCode>
                <c:ptCount val="12"/>
                <c:pt idx="0">
                  <c:v>1298.1867813091035</c:v>
                </c:pt>
                <c:pt idx="1">
                  <c:v>736.59187374974999</c:v>
                </c:pt>
                <c:pt idx="2">
                  <c:v>1033.8168120735336</c:v>
                </c:pt>
                <c:pt idx="3">
                  <c:v>1525.3482389993769</c:v>
                </c:pt>
                <c:pt idx="4">
                  <c:v>1182.3000371125499</c:v>
                </c:pt>
                <c:pt idx="5">
                  <c:v>1617.2476002308345</c:v>
                </c:pt>
                <c:pt idx="6">
                  <c:v>1130.7050800628363</c:v>
                </c:pt>
                <c:pt idx="7">
                  <c:v>1985.9284122309593</c:v>
                </c:pt>
                <c:pt idx="8">
                  <c:v>806.83820661769664</c:v>
                </c:pt>
                <c:pt idx="9">
                  <c:v>738.7106516170245</c:v>
                </c:pt>
                <c:pt idx="10">
                  <c:v>631.99067975804246</c:v>
                </c:pt>
                <c:pt idx="11">
                  <c:v>1467.2048800600514</c:v>
                </c:pt>
              </c:numCache>
            </c:numRef>
          </c:val>
        </c:ser>
        <c:ser>
          <c:idx val="3"/>
          <c:order val="3"/>
          <c:tx>
            <c:strRef>
              <c:f>'MONTHLY DISTRIBUTION'!$E$47</c:f>
              <c:strCache>
                <c:ptCount val="1"/>
                <c:pt idx="0">
                  <c:v>Day Visitor</c:v>
                </c:pt>
              </c:strCache>
            </c:strRef>
          </c:tx>
          <c:spPr>
            <a:solidFill>
              <a:srgbClr val="FFFF00"/>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DISTRIBUTION'!$F$47:$Q$47</c:f>
              <c:numCache>
                <c:formatCode>#,##0.0</c:formatCode>
                <c:ptCount val="12"/>
                <c:pt idx="0">
                  <c:v>1325.6056535748337</c:v>
                </c:pt>
                <c:pt idx="1">
                  <c:v>2010.6829694570326</c:v>
                </c:pt>
                <c:pt idx="2">
                  <c:v>2186.7407948355558</c:v>
                </c:pt>
                <c:pt idx="3">
                  <c:v>594.54867083887177</c:v>
                </c:pt>
                <c:pt idx="4">
                  <c:v>1665.0095631584218</c:v>
                </c:pt>
                <c:pt idx="5">
                  <c:v>1065.8447097360804</c:v>
                </c:pt>
                <c:pt idx="6">
                  <c:v>1751.3466571629824</c:v>
                </c:pt>
                <c:pt idx="7">
                  <c:v>1086.5133973771149</c:v>
                </c:pt>
                <c:pt idx="8">
                  <c:v>527.06228180535891</c:v>
                </c:pt>
                <c:pt idx="9">
                  <c:v>779.65942421214538</c:v>
                </c:pt>
                <c:pt idx="10">
                  <c:v>673.44760418312762</c:v>
                </c:pt>
                <c:pt idx="11">
                  <c:v>491.03132222723463</c:v>
                </c:pt>
              </c:numCache>
            </c:numRef>
          </c:val>
        </c:ser>
        <c:dLbls>
          <c:showLegendKey val="0"/>
          <c:showVal val="0"/>
          <c:showCatName val="0"/>
          <c:showSerName val="0"/>
          <c:showPercent val="0"/>
          <c:showBubbleSize val="0"/>
        </c:dLbls>
        <c:axId val="252952048"/>
        <c:axId val="252952440"/>
      </c:areaChart>
      <c:lineChart>
        <c:grouping val="standard"/>
        <c:varyColors val="0"/>
        <c:ser>
          <c:idx val="4"/>
          <c:order val="4"/>
          <c:tx>
            <c:v>All Visitors Monthly Totals</c:v>
          </c:tx>
          <c:spPr>
            <a:ln w="63500" cap="rnd">
              <a:solidFill>
                <a:schemeClr val="accent5"/>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chemeClr val="accent1">
                  <a:alpha val="75000"/>
                </a:schemeClr>
              </a:solidFill>
              <a:ln>
                <a:solidFill>
                  <a:schemeClr val="bg1"/>
                </a:solidFill>
              </a:ln>
              <a:effectLst/>
            </c:spPr>
            <c:txPr>
              <a:bodyPr rot="-5400000" spcFirstLastPara="1" vertOverflow="clip" horzOverflow="clip" vert="horz" wrap="square" lIns="72000" tIns="18288" rIns="72000" bIns="18288"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0"/>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DISTRIBUTION'!$F$61:$Q$61</c:f>
              <c:numCache>
                <c:formatCode>#,##0.00</c:formatCode>
                <c:ptCount val="12"/>
                <c:pt idx="0">
                  <c:v>6.2338302262433034</c:v>
                </c:pt>
                <c:pt idx="1">
                  <c:v>6.2413558933473858</c:v>
                </c:pt>
                <c:pt idx="2">
                  <c:v>8.6094996217212749</c:v>
                </c:pt>
                <c:pt idx="3">
                  <c:v>7.4156738235486177</c:v>
                </c:pt>
                <c:pt idx="4">
                  <c:v>8.5101151197303331</c:v>
                </c:pt>
                <c:pt idx="5">
                  <c:v>9.2817243738731783</c:v>
                </c:pt>
                <c:pt idx="6">
                  <c:v>12.86822081705985</c:v>
                </c:pt>
                <c:pt idx="7">
                  <c:v>13.017027309419921</c:v>
                </c:pt>
                <c:pt idx="8">
                  <c:v>7.9498777227078703</c:v>
                </c:pt>
                <c:pt idx="9">
                  <c:v>6.8742382368320829</c:v>
                </c:pt>
                <c:pt idx="10">
                  <c:v>3.8202491644670995</c:v>
                </c:pt>
                <c:pt idx="11">
                  <c:v>3.8060792318958456</c:v>
                </c:pt>
              </c:numCache>
            </c:numRef>
          </c:val>
          <c:smooth val="1"/>
        </c:ser>
        <c:dLbls>
          <c:showLegendKey val="0"/>
          <c:showVal val="0"/>
          <c:showCatName val="0"/>
          <c:showSerName val="0"/>
          <c:showPercent val="0"/>
          <c:showBubbleSize val="0"/>
        </c:dLbls>
        <c:marker val="1"/>
        <c:smooth val="0"/>
        <c:axId val="252953224"/>
        <c:axId val="252952832"/>
      </c:lineChart>
      <c:catAx>
        <c:axId val="2529520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952440"/>
        <c:crosses val="autoZero"/>
        <c:auto val="1"/>
        <c:lblAlgn val="ctr"/>
        <c:lblOffset val="100"/>
        <c:noMultiLvlLbl val="0"/>
      </c:catAx>
      <c:valAx>
        <c:axId val="252952440"/>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952048"/>
        <c:crosses val="autoZero"/>
        <c:crossBetween val="between"/>
      </c:valAx>
      <c:valAx>
        <c:axId val="252952832"/>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52953224"/>
        <c:crosses val="max"/>
        <c:crossBetween val="between"/>
      </c:valAx>
      <c:catAx>
        <c:axId val="252953224"/>
        <c:scaling>
          <c:orientation val="minMax"/>
        </c:scaling>
        <c:delete val="1"/>
        <c:axPos val="b"/>
        <c:numFmt formatCode="General" sourceLinked="1"/>
        <c:majorTickMark val="out"/>
        <c:minorTickMark val="none"/>
        <c:tickLblPos val="nextTo"/>
        <c:crossAx val="252952832"/>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DISTRIBUTION'!$E$48</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DISTRIBUTION'!$F$48:$Q$48</c:f>
              <c:numCache>
                <c:formatCode>#,##0.0</c:formatCode>
                <c:ptCount val="12"/>
                <c:pt idx="0">
                  <c:v>11.415811470261142</c:v>
                </c:pt>
                <c:pt idx="1">
                  <c:v>12.453237030310092</c:v>
                </c:pt>
                <c:pt idx="2">
                  <c:v>19.384522590857806</c:v>
                </c:pt>
                <c:pt idx="3">
                  <c:v>13.826526451539658</c:v>
                </c:pt>
                <c:pt idx="4">
                  <c:v>22.143780266751971</c:v>
                </c:pt>
                <c:pt idx="5">
                  <c:v>24.367687846652892</c:v>
                </c:pt>
                <c:pt idx="6">
                  <c:v>30.11915569997759</c:v>
                </c:pt>
                <c:pt idx="7">
                  <c:v>30.408873732575795</c:v>
                </c:pt>
                <c:pt idx="8">
                  <c:v>26.13874831694617</c:v>
                </c:pt>
                <c:pt idx="9">
                  <c:v>19.684165185615143</c:v>
                </c:pt>
                <c:pt idx="10">
                  <c:v>10.574996480990789</c:v>
                </c:pt>
                <c:pt idx="11">
                  <c:v>8.1462603499124437</c:v>
                </c:pt>
              </c:numCache>
            </c:numRef>
          </c:val>
        </c:ser>
        <c:ser>
          <c:idx val="1"/>
          <c:order val="1"/>
          <c:tx>
            <c:strRef>
              <c:f>'MONTHLY DISTRIBUTION'!$E$49</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DISTRIBUTION'!$F$49:$Q$49</c:f>
              <c:numCache>
                <c:formatCode>#,##0.0</c:formatCode>
                <c:ptCount val="12"/>
                <c:pt idx="0">
                  <c:v>0.47850385861885425</c:v>
                </c:pt>
                <c:pt idx="1">
                  <c:v>1.0565048266902324</c:v>
                </c:pt>
                <c:pt idx="2">
                  <c:v>2.6154194178382038</c:v>
                </c:pt>
                <c:pt idx="3">
                  <c:v>8.5865261545235931</c:v>
                </c:pt>
                <c:pt idx="4">
                  <c:v>8.136638569313682</c:v>
                </c:pt>
                <c:pt idx="5">
                  <c:v>8.9484094518166195</c:v>
                </c:pt>
                <c:pt idx="6">
                  <c:v>10.907324690302111</c:v>
                </c:pt>
                <c:pt idx="7">
                  <c:v>11.104555503942938</c:v>
                </c:pt>
                <c:pt idx="8">
                  <c:v>6.8550874651666085</c:v>
                </c:pt>
                <c:pt idx="9">
                  <c:v>5.812123322549775</c:v>
                </c:pt>
                <c:pt idx="10">
                  <c:v>1.251092404757669</c:v>
                </c:pt>
                <c:pt idx="11">
                  <c:v>1.1340689690931447</c:v>
                </c:pt>
              </c:numCache>
            </c:numRef>
          </c:val>
        </c:ser>
        <c:ser>
          <c:idx val="2"/>
          <c:order val="2"/>
          <c:tx>
            <c:strRef>
              <c:f>'MONTHLY DISTRIBUTION'!$E$50</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DISTRIBUTION'!$F$50:$Q$50</c:f>
              <c:numCache>
                <c:formatCode>#,##0.0</c:formatCode>
                <c:ptCount val="12"/>
                <c:pt idx="0">
                  <c:v>10.027816803124912</c:v>
                </c:pt>
                <c:pt idx="1">
                  <c:v>6.2175371243831945</c:v>
                </c:pt>
                <c:pt idx="2">
                  <c:v>8.9601415771856487</c:v>
                </c:pt>
                <c:pt idx="3">
                  <c:v>11.503363556769765</c:v>
                </c:pt>
                <c:pt idx="4">
                  <c:v>8.8487292776177568</c:v>
                </c:pt>
                <c:pt idx="5">
                  <c:v>9.5292105156138689</c:v>
                </c:pt>
                <c:pt idx="6">
                  <c:v>7.8096278687245402</c:v>
                </c:pt>
                <c:pt idx="7">
                  <c:v>14.544628716951712</c:v>
                </c:pt>
                <c:pt idx="8">
                  <c:v>8.8981706701210843</c:v>
                </c:pt>
                <c:pt idx="9">
                  <c:v>8.4181206752294369</c:v>
                </c:pt>
                <c:pt idx="10">
                  <c:v>7.2995602161775848</c:v>
                </c:pt>
                <c:pt idx="11">
                  <c:v>13.989288535809406</c:v>
                </c:pt>
              </c:numCache>
            </c:numRef>
          </c:val>
        </c:ser>
        <c:ser>
          <c:idx val="3"/>
          <c:order val="3"/>
          <c:tx>
            <c:strRef>
              <c:f>'MONTHLY DISTRIBUTION'!$E$51</c:f>
              <c:strCache>
                <c:ptCount val="1"/>
                <c:pt idx="0">
                  <c:v>Day Visitor</c:v>
                </c:pt>
              </c:strCache>
            </c:strRef>
          </c:tx>
          <c:spPr>
            <a:solidFill>
              <a:srgbClr val="FFFF00"/>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DISTRIBUTION'!$F$51:$Q$51</c:f>
              <c:numCache>
                <c:formatCode>#,##0.0</c:formatCode>
                <c:ptCount val="12"/>
                <c:pt idx="0">
                  <c:v>23.611870012385737</c:v>
                </c:pt>
                <c:pt idx="1">
                  <c:v>35.81456127839084</c:v>
                </c:pt>
                <c:pt idx="2">
                  <c:v>38.950527450751707</c:v>
                </c:pt>
                <c:pt idx="3">
                  <c:v>15.123752660715921</c:v>
                </c:pt>
                <c:pt idx="4">
                  <c:v>42.353459095965199</c:v>
                </c:pt>
                <c:pt idx="5">
                  <c:v>27.112282905346177</c:v>
                </c:pt>
                <c:pt idx="6">
                  <c:v>37.259073303362548</c:v>
                </c:pt>
                <c:pt idx="7">
                  <c:v>23.115059575662329</c:v>
                </c:pt>
                <c:pt idx="8">
                  <c:v>11.213001214182736</c:v>
                </c:pt>
                <c:pt idx="9">
                  <c:v>13.887400773211503</c:v>
                </c:pt>
                <c:pt idx="10">
                  <c:v>11.995541243538414</c:v>
                </c:pt>
                <c:pt idx="11">
                  <c:v>8.7463173691004794</c:v>
                </c:pt>
              </c:numCache>
            </c:numRef>
          </c:val>
        </c:ser>
        <c:dLbls>
          <c:showLegendKey val="0"/>
          <c:showVal val="0"/>
          <c:showCatName val="0"/>
          <c:showSerName val="0"/>
          <c:showPercent val="0"/>
          <c:showBubbleSize val="0"/>
        </c:dLbls>
        <c:axId val="252954008"/>
        <c:axId val="252954400"/>
      </c:areaChart>
      <c:lineChart>
        <c:grouping val="standard"/>
        <c:varyColors val="0"/>
        <c:ser>
          <c:idx val="4"/>
          <c:order val="4"/>
          <c:tx>
            <c:v>All Visitors Monthly Totals</c:v>
          </c:tx>
          <c:spPr>
            <a:ln w="63500" cap="rnd">
              <a:solidFill>
                <a:srgbClr val="00B050"/>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rgbClr val="00B050">
                  <a:alpha val="75000"/>
                </a:srgbClr>
              </a:solidFill>
              <a:ln>
                <a:solidFill>
                  <a:schemeClr val="bg1"/>
                </a:solidFill>
              </a:ln>
              <a:effectLst/>
            </c:spPr>
            <c:txPr>
              <a:bodyPr rot="-5400000" spcFirstLastPara="1" vertOverflow="clip" horzOverflow="clip" vert="horz" wrap="square" lIns="72000" tIns="18288" rIns="72000" bIns="18288"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0"/>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DISTRIBUTION'!$F$62:$Q$62</c:f>
              <c:numCache>
                <c:formatCode>#,##0.00</c:formatCode>
                <c:ptCount val="12"/>
                <c:pt idx="0">
                  <c:v>45.534002144390641</c:v>
                </c:pt>
                <c:pt idx="1">
                  <c:v>55.541840259774361</c:v>
                </c:pt>
                <c:pt idx="2">
                  <c:v>69.91061103663337</c:v>
                </c:pt>
                <c:pt idx="3">
                  <c:v>49.040168823548939</c:v>
                </c:pt>
                <c:pt idx="4">
                  <c:v>81.48260720964862</c:v>
                </c:pt>
                <c:pt idx="5">
                  <c:v>69.957590719429561</c:v>
                </c:pt>
                <c:pt idx="6">
                  <c:v>86.09518156236679</c:v>
                </c:pt>
                <c:pt idx="7">
                  <c:v>79.173117529132782</c:v>
                </c:pt>
                <c:pt idx="8">
                  <c:v>53.105007666416597</c:v>
                </c:pt>
                <c:pt idx="9">
                  <c:v>47.801809956605858</c:v>
                </c:pt>
                <c:pt idx="10">
                  <c:v>31.121190345464456</c:v>
                </c:pt>
                <c:pt idx="11">
                  <c:v>32.015935223915477</c:v>
                </c:pt>
              </c:numCache>
            </c:numRef>
          </c:val>
          <c:smooth val="1"/>
        </c:ser>
        <c:dLbls>
          <c:showLegendKey val="0"/>
          <c:showVal val="0"/>
          <c:showCatName val="0"/>
          <c:showSerName val="0"/>
          <c:showPercent val="0"/>
          <c:showBubbleSize val="0"/>
        </c:dLbls>
        <c:marker val="1"/>
        <c:smooth val="0"/>
        <c:axId val="252955184"/>
        <c:axId val="252954792"/>
      </c:lineChart>
      <c:catAx>
        <c:axId val="2529540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954400"/>
        <c:crosses val="autoZero"/>
        <c:auto val="1"/>
        <c:lblAlgn val="ctr"/>
        <c:lblOffset val="100"/>
        <c:noMultiLvlLbl val="0"/>
      </c:catAx>
      <c:valAx>
        <c:axId val="252954400"/>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954008"/>
        <c:crosses val="autoZero"/>
        <c:crossBetween val="between"/>
      </c:valAx>
      <c:valAx>
        <c:axId val="252954792"/>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52955184"/>
        <c:crosses val="max"/>
        <c:crossBetween val="between"/>
      </c:valAx>
      <c:catAx>
        <c:axId val="252955184"/>
        <c:scaling>
          <c:orientation val="minMax"/>
        </c:scaling>
        <c:delete val="1"/>
        <c:axPos val="b"/>
        <c:numFmt formatCode="General" sourceLinked="1"/>
        <c:majorTickMark val="out"/>
        <c:minorTickMark val="none"/>
        <c:tickLblPos val="nextTo"/>
        <c:crossAx val="252954792"/>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DISTRIBUTION'!$E$56</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DISTRIBUTION'!$F$56:$Q$56</c:f>
              <c:numCache>
                <c:formatCode>#,##0</c:formatCode>
                <c:ptCount val="12"/>
                <c:pt idx="0">
                  <c:v>1367.6948562088114</c:v>
                </c:pt>
                <c:pt idx="1">
                  <c:v>1337.8107074156981</c:v>
                </c:pt>
                <c:pt idx="2">
                  <c:v>1502.2352227431484</c:v>
                </c:pt>
                <c:pt idx="3">
                  <c:v>1279.4682887662739</c:v>
                </c:pt>
                <c:pt idx="4">
                  <c:v>1258.5758280633468</c:v>
                </c:pt>
                <c:pt idx="5">
                  <c:v>1335.0558898308334</c:v>
                </c:pt>
                <c:pt idx="6">
                  <c:v>1761.8029765967999</c:v>
                </c:pt>
                <c:pt idx="7">
                  <c:v>1602.4041763413579</c:v>
                </c:pt>
                <c:pt idx="8">
                  <c:v>1414.4125156519601</c:v>
                </c:pt>
                <c:pt idx="9">
                  <c:v>1322.3942161153807</c:v>
                </c:pt>
                <c:pt idx="10">
                  <c:v>1191.5660085062718</c:v>
                </c:pt>
                <c:pt idx="11">
                  <c:v>1123.0741672548318</c:v>
                </c:pt>
              </c:numCache>
            </c:numRef>
          </c:val>
        </c:ser>
        <c:ser>
          <c:idx val="1"/>
          <c:order val="1"/>
          <c:tx>
            <c:strRef>
              <c:f>'MONTHLY DISTRIBUTION'!$E$57</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DISTRIBUTION'!$F$57:$Q$57</c:f>
              <c:numCache>
                <c:formatCode>#,##0</c:formatCode>
                <c:ptCount val="12"/>
                <c:pt idx="0">
                  <c:v>352.01609061270989</c:v>
                </c:pt>
                <c:pt idx="1">
                  <c:v>355.44602160980878</c:v>
                </c:pt>
                <c:pt idx="2">
                  <c:v>398.43835267529676</c:v>
                </c:pt>
                <c:pt idx="3">
                  <c:v>596.56961388928926</c:v>
                </c:pt>
                <c:pt idx="4">
                  <c:v>668.78098885702889</c:v>
                </c:pt>
                <c:pt idx="5">
                  <c:v>696.78819745378473</c:v>
                </c:pt>
                <c:pt idx="6">
                  <c:v>743.90414640869267</c:v>
                </c:pt>
                <c:pt idx="7">
                  <c:v>739.78819945730652</c:v>
                </c:pt>
                <c:pt idx="8">
                  <c:v>615.23583569302991</c:v>
                </c:pt>
                <c:pt idx="9">
                  <c:v>577.72973326466911</c:v>
                </c:pt>
                <c:pt idx="10">
                  <c:v>374.01645188185853</c:v>
                </c:pt>
                <c:pt idx="11">
                  <c:v>363.50076547593119</c:v>
                </c:pt>
              </c:numCache>
            </c:numRef>
          </c:val>
        </c:ser>
        <c:ser>
          <c:idx val="2"/>
          <c:order val="2"/>
          <c:tx>
            <c:strRef>
              <c:f>'MONTHLY DISTRIBUTION'!$E$58</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DISTRIBUTION'!$F$58:$Q$58</c:f>
              <c:numCache>
                <c:formatCode>#,##0</c:formatCode>
                <c:ptCount val="12"/>
                <c:pt idx="0">
                  <c:v>204.62559170729648</c:v>
                </c:pt>
                <c:pt idx="1">
                  <c:v>116.10467013139339</c:v>
                </c:pt>
                <c:pt idx="2">
                  <c:v>162.95449925485565</c:v>
                </c:pt>
                <c:pt idx="3">
                  <c:v>241.26646094814902</c:v>
                </c:pt>
                <c:pt idx="4">
                  <c:v>187.00604782559873</c:v>
                </c:pt>
                <c:pt idx="5">
                  <c:v>255.80231124175435</c:v>
                </c:pt>
                <c:pt idx="6">
                  <c:v>178.80303646906731</c:v>
                </c:pt>
                <c:pt idx="7">
                  <c:v>314.04301314128338</c:v>
                </c:pt>
                <c:pt idx="8">
                  <c:v>127.58863812169632</c:v>
                </c:pt>
                <c:pt idx="9">
                  <c:v>116.31422992126599</c:v>
                </c:pt>
                <c:pt idx="10">
                  <c:v>99.510558122538441</c:v>
                </c:pt>
                <c:pt idx="11">
                  <c:v>231.01982540436322</c:v>
                </c:pt>
              </c:numCache>
            </c:numRef>
          </c:val>
        </c:ser>
        <c:ser>
          <c:idx val="3"/>
          <c:order val="3"/>
          <c:tx>
            <c:strRef>
              <c:f>'MONTHLY DISTRIBUTION'!$E$59</c:f>
              <c:strCache>
                <c:ptCount val="1"/>
                <c:pt idx="0">
                  <c:v>Day Visitor</c:v>
                </c:pt>
              </c:strCache>
            </c:strRef>
          </c:tx>
          <c:spPr>
            <a:solidFill>
              <a:srgbClr val="FFFF00"/>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DISTRIBUTION'!$F$59:$Q$59</c:f>
              <c:numCache>
                <c:formatCode>#,##0</c:formatCode>
                <c:ptCount val="12"/>
                <c:pt idx="0">
                  <c:v>210.88652049589081</c:v>
                </c:pt>
                <c:pt idx="1">
                  <c:v>319.87336060739113</c:v>
                </c:pt>
                <c:pt idx="2">
                  <c:v>347.8818577800036</c:v>
                </c:pt>
                <c:pt idx="3">
                  <c:v>93.494948364464108</c:v>
                </c:pt>
                <c:pt idx="4">
                  <c:v>261.82883045419101</c:v>
                </c:pt>
                <c:pt idx="5">
                  <c:v>167.60797053117699</c:v>
                </c:pt>
                <c:pt idx="6">
                  <c:v>273.72142219335228</c:v>
                </c:pt>
                <c:pt idx="7">
                  <c:v>169.81332116393116</c:v>
                </c:pt>
                <c:pt idx="8">
                  <c:v>82.375603236618673</c:v>
                </c:pt>
                <c:pt idx="9">
                  <c:v>124.03361640811464</c:v>
                </c:pt>
                <c:pt idx="10">
                  <c:v>107.13670509738535</c:v>
                </c:pt>
                <c:pt idx="11">
                  <c:v>78.116660652241507</c:v>
                </c:pt>
              </c:numCache>
            </c:numRef>
          </c:val>
        </c:ser>
        <c:dLbls>
          <c:showLegendKey val="0"/>
          <c:showVal val="0"/>
          <c:showCatName val="0"/>
          <c:showSerName val="0"/>
          <c:showPercent val="0"/>
          <c:showBubbleSize val="0"/>
        </c:dLbls>
        <c:axId val="257396752"/>
        <c:axId val="257397144"/>
      </c:areaChart>
      <c:lineChart>
        <c:grouping val="standard"/>
        <c:varyColors val="0"/>
        <c:ser>
          <c:idx val="4"/>
          <c:order val="4"/>
          <c:tx>
            <c:v>All Visitors Monthly Totals</c:v>
          </c:tx>
          <c:spPr>
            <a:ln w="63500" cap="rnd">
              <a:solidFill>
                <a:schemeClr val="accent6"/>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chemeClr val="accent6">
                  <a:lumMod val="60000"/>
                  <a:lumOff val="40000"/>
                  <a:alpha val="75000"/>
                </a:schemeClr>
              </a:solidFill>
              <a:ln>
                <a:solidFill>
                  <a:schemeClr val="bg1"/>
                </a:solidFill>
              </a:ln>
              <a:effectLst/>
            </c:spPr>
            <c:txPr>
              <a:bodyPr rot="-5400000" spcFirstLastPara="1" vertOverflow="clip" horzOverflow="clip" vert="horz" wrap="square" lIns="72000" tIns="18360" rIns="108000" bIns="1836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DISTRIBUTION'!$F$64:$Q$64</c:f>
              <c:numCache>
                <c:formatCode>#,##0</c:formatCode>
                <c:ptCount val="12"/>
                <c:pt idx="0">
                  <c:v>2434.1865448643398</c:v>
                </c:pt>
                <c:pt idx="1">
                  <c:v>2433.7814841928057</c:v>
                </c:pt>
                <c:pt idx="2">
                  <c:v>2831.9057669080526</c:v>
                </c:pt>
                <c:pt idx="3">
                  <c:v>2586.3551785588475</c:v>
                </c:pt>
                <c:pt idx="4">
                  <c:v>2811.9117774156166</c:v>
                </c:pt>
                <c:pt idx="5">
                  <c:v>2923.2971270382</c:v>
                </c:pt>
                <c:pt idx="6">
                  <c:v>3603.3315478399445</c:v>
                </c:pt>
                <c:pt idx="7">
                  <c:v>3477.0345830993697</c:v>
                </c:pt>
                <c:pt idx="8">
                  <c:v>2636.0212147085804</c:v>
                </c:pt>
                <c:pt idx="9">
                  <c:v>2485.4186628589359</c:v>
                </c:pt>
                <c:pt idx="10">
                  <c:v>1958.7486068837238</c:v>
                </c:pt>
                <c:pt idx="11">
                  <c:v>1982.9832128804564</c:v>
                </c:pt>
              </c:numCache>
            </c:numRef>
          </c:val>
          <c:smooth val="1"/>
        </c:ser>
        <c:dLbls>
          <c:showLegendKey val="0"/>
          <c:showVal val="0"/>
          <c:showCatName val="0"/>
          <c:showSerName val="0"/>
          <c:showPercent val="0"/>
          <c:showBubbleSize val="0"/>
        </c:dLbls>
        <c:marker val="1"/>
        <c:smooth val="0"/>
        <c:axId val="257397928"/>
        <c:axId val="257397536"/>
      </c:lineChart>
      <c:catAx>
        <c:axId val="2573967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7397144"/>
        <c:crosses val="autoZero"/>
        <c:auto val="1"/>
        <c:lblAlgn val="ctr"/>
        <c:lblOffset val="100"/>
        <c:noMultiLvlLbl val="0"/>
      </c:catAx>
      <c:valAx>
        <c:axId val="257397144"/>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7396752"/>
        <c:crosses val="autoZero"/>
        <c:crossBetween val="between"/>
      </c:valAx>
      <c:valAx>
        <c:axId val="257397536"/>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57397928"/>
        <c:crosses val="max"/>
        <c:crossBetween val="between"/>
      </c:valAx>
      <c:catAx>
        <c:axId val="257397928"/>
        <c:scaling>
          <c:orientation val="minMax"/>
        </c:scaling>
        <c:delete val="1"/>
        <c:axPos val="b"/>
        <c:numFmt formatCode="General" sourceLinked="1"/>
        <c:majorTickMark val="out"/>
        <c:minorTickMark val="none"/>
        <c:tickLblPos val="nextTo"/>
        <c:crossAx val="257397536"/>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DISTRIBUTION'!$E$52</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DISTRIBUTION'!$F$52:$Q$52</c:f>
              <c:numCache>
                <c:formatCode>#,##0.0</c:formatCode>
                <c:ptCount val="12"/>
                <c:pt idx="0">
                  <c:v>26.493209889332931</c:v>
                </c:pt>
                <c:pt idx="1">
                  <c:v>26.635927358402544</c:v>
                </c:pt>
                <c:pt idx="2">
                  <c:v>40.612240945059582</c:v>
                </c:pt>
                <c:pt idx="3">
                  <c:v>34.247705816039897</c:v>
                </c:pt>
                <c:pt idx="4">
                  <c:v>37.127382266211796</c:v>
                </c:pt>
                <c:pt idx="5">
                  <c:v>44.267124546335999</c:v>
                </c:pt>
                <c:pt idx="6">
                  <c:v>56.687373028025732</c:v>
                </c:pt>
                <c:pt idx="7">
                  <c:v>54.312259044309357</c:v>
                </c:pt>
                <c:pt idx="8" formatCode="0.0">
                  <c:v>45.763696549087356</c:v>
                </c:pt>
                <c:pt idx="9" formatCode="0.0">
                  <c:v>37.205943855795454</c:v>
                </c:pt>
                <c:pt idx="10" formatCode="0.0">
                  <c:v>19.927825971620202</c:v>
                </c:pt>
                <c:pt idx="11" formatCode="0.0">
                  <c:v>14.188997747646642</c:v>
                </c:pt>
              </c:numCache>
            </c:numRef>
          </c:val>
        </c:ser>
        <c:ser>
          <c:idx val="1"/>
          <c:order val="1"/>
          <c:tx>
            <c:strRef>
              <c:f>'MONTHLY DISTRIBUTION'!$E$53</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DISTRIBUTION'!$F$53:$Q$53</c:f>
              <c:numCache>
                <c:formatCode>#,##0.0</c:formatCode>
                <c:ptCount val="12"/>
                <c:pt idx="0">
                  <c:v>4.2165333333333335</c:v>
                </c:pt>
                <c:pt idx="1">
                  <c:v>6.8237500000000004</c:v>
                </c:pt>
                <c:pt idx="2">
                  <c:v>17.846783783783785</c:v>
                </c:pt>
                <c:pt idx="3">
                  <c:v>52.937522182818725</c:v>
                </c:pt>
                <c:pt idx="4">
                  <c:v>62.171367745324538</c:v>
                </c:pt>
                <c:pt idx="5">
                  <c:v>66.193307989343126</c:v>
                </c:pt>
                <c:pt idx="6">
                  <c:v>86.227985037245929</c:v>
                </c:pt>
                <c:pt idx="7">
                  <c:v>85.965880140657873</c:v>
                </c:pt>
                <c:pt idx="8" formatCode="0.0">
                  <c:v>58.899624351254133</c:v>
                </c:pt>
                <c:pt idx="9" formatCode="0.0">
                  <c:v>41.72628188479969</c:v>
                </c:pt>
                <c:pt idx="10" formatCode="0.0">
                  <c:v>8.9840154440154443</c:v>
                </c:pt>
                <c:pt idx="11" formatCode="0.0">
                  <c:v>6.2370909090909086</c:v>
                </c:pt>
              </c:numCache>
            </c:numRef>
          </c:val>
        </c:ser>
        <c:ser>
          <c:idx val="2"/>
          <c:order val="2"/>
          <c:tx>
            <c:strRef>
              <c:f>'MONTHLY DISTRIBUTION'!$E$54</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DISTRIBUTION'!$F$54:$Q$54</c:f>
              <c:numCache>
                <c:formatCode>#,##0.0</c:formatCode>
                <c:ptCount val="12"/>
                <c:pt idx="0">
                  <c:v>37.804869347780915</c:v>
                </c:pt>
                <c:pt idx="1">
                  <c:v>21.450503079122022</c:v>
                </c:pt>
                <c:pt idx="2">
                  <c:v>30.106075699343776</c:v>
                </c:pt>
                <c:pt idx="3">
                  <c:v>45.208218778105177</c:v>
                </c:pt>
                <c:pt idx="4">
                  <c:v>35.040967939366318</c:v>
                </c:pt>
                <c:pt idx="5">
                  <c:v>47.931928893537759</c:v>
                </c:pt>
                <c:pt idx="6">
                  <c:v>53.495950900763098</c:v>
                </c:pt>
                <c:pt idx="7">
                  <c:v>93.958301511508054</c:v>
                </c:pt>
                <c:pt idx="8" formatCode="0.0">
                  <c:v>38.17315217481945</c:v>
                </c:pt>
                <c:pt idx="9" formatCode="0.0">
                  <c:v>31.483771325358095</c:v>
                </c:pt>
                <c:pt idx="10" formatCode="0.0">
                  <c:v>26.935377197695288</c:v>
                </c:pt>
                <c:pt idx="11" formatCode="0.0">
                  <c:v>62.532119755068038</c:v>
                </c:pt>
              </c:numCache>
            </c:numRef>
          </c:val>
        </c:ser>
        <c:ser>
          <c:idx val="3"/>
          <c:order val="3"/>
          <c:tx>
            <c:strRef>
              <c:f>'MONTHLY DISTRIBUTION'!$E$55</c:f>
              <c:strCache>
                <c:ptCount val="1"/>
                <c:pt idx="0">
                  <c:v>Day Visitor</c:v>
                </c:pt>
              </c:strCache>
            </c:strRef>
          </c:tx>
          <c:spPr>
            <a:solidFill>
              <a:srgbClr val="FFFF00"/>
            </a:solidFill>
            <a:ln>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DISTRIBUTION'!$F$55:$Q$55</c:f>
              <c:numCache>
                <c:formatCode>#,##0.0</c:formatCode>
                <c:ptCount val="12"/>
                <c:pt idx="0">
                  <c:v>23.611870012385737</c:v>
                </c:pt>
                <c:pt idx="1">
                  <c:v>35.81456127839084</c:v>
                </c:pt>
                <c:pt idx="2">
                  <c:v>38.950527450751707</c:v>
                </c:pt>
                <c:pt idx="3">
                  <c:v>15.123752660715921</c:v>
                </c:pt>
                <c:pt idx="4">
                  <c:v>42.353459095965199</c:v>
                </c:pt>
                <c:pt idx="5">
                  <c:v>27.112282905346177</c:v>
                </c:pt>
                <c:pt idx="6">
                  <c:v>37.259073303362548</c:v>
                </c:pt>
                <c:pt idx="7">
                  <c:v>23.115059575662329</c:v>
                </c:pt>
                <c:pt idx="8" formatCode="0.0">
                  <c:v>11.213001214182736</c:v>
                </c:pt>
                <c:pt idx="9" formatCode="0.0">
                  <c:v>13.887400773211503</c:v>
                </c:pt>
                <c:pt idx="10" formatCode="0.0">
                  <c:v>11.995541243538414</c:v>
                </c:pt>
                <c:pt idx="11" formatCode="0.0">
                  <c:v>8.7463173691004794</c:v>
                </c:pt>
              </c:numCache>
            </c:numRef>
          </c:val>
        </c:ser>
        <c:dLbls>
          <c:showLegendKey val="0"/>
          <c:showVal val="0"/>
          <c:showCatName val="0"/>
          <c:showSerName val="0"/>
          <c:showPercent val="0"/>
          <c:showBubbleSize val="0"/>
        </c:dLbls>
        <c:axId val="257398712"/>
        <c:axId val="257399104"/>
      </c:areaChart>
      <c:lineChart>
        <c:grouping val="standard"/>
        <c:varyColors val="0"/>
        <c:ser>
          <c:idx val="4"/>
          <c:order val="4"/>
          <c:tx>
            <c:v>All Visitors Monthly Totals</c:v>
          </c:tx>
          <c:spPr>
            <a:ln w="63500" cap="rnd">
              <a:solidFill>
                <a:srgbClr val="FF0000"/>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rgbClr val="FF0000">
                  <a:alpha val="75000"/>
                </a:srgbClr>
              </a:solidFill>
              <a:ln>
                <a:solidFill>
                  <a:schemeClr val="bg1"/>
                </a:solidFill>
              </a:ln>
              <a:effectLst/>
            </c:spPr>
            <c:txPr>
              <a:bodyPr rot="-5400000" spcFirstLastPara="1" vertOverflow="clip" horzOverflow="clip" vert="horz" wrap="square" lIns="72000" tIns="18288" rIns="72000" bIns="18288"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0"/>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DISTRIBUTION'!$F$63:$Q$63</c:f>
              <c:numCache>
                <c:formatCode>#,##0.00</c:formatCode>
                <c:ptCount val="12"/>
                <c:pt idx="0">
                  <c:v>92.126482582832921</c:v>
                </c:pt>
                <c:pt idx="1">
                  <c:v>90.7247417159154</c:v>
                </c:pt>
                <c:pt idx="2">
                  <c:v>127.51562787893886</c:v>
                </c:pt>
                <c:pt idx="3">
                  <c:v>147.51719943767972</c:v>
                </c:pt>
                <c:pt idx="4">
                  <c:v>176.69317704686785</c:v>
                </c:pt>
                <c:pt idx="5">
                  <c:v>185.50464433456307</c:v>
                </c:pt>
                <c:pt idx="6">
                  <c:v>233.67038226939732</c:v>
                </c:pt>
                <c:pt idx="7">
                  <c:v>257.35150027213763</c:v>
                </c:pt>
                <c:pt idx="8">
                  <c:v>154.04947428934366</c:v>
                </c:pt>
                <c:pt idx="9">
                  <c:v>124.30339783916475</c:v>
                </c:pt>
                <c:pt idx="10">
                  <c:v>67.84275985686935</c:v>
                </c:pt>
                <c:pt idx="11">
                  <c:v>91.704525780906067</c:v>
                </c:pt>
              </c:numCache>
            </c:numRef>
          </c:val>
          <c:smooth val="1"/>
        </c:ser>
        <c:dLbls>
          <c:showLegendKey val="0"/>
          <c:showVal val="0"/>
          <c:showCatName val="0"/>
          <c:showSerName val="0"/>
          <c:showPercent val="0"/>
          <c:showBubbleSize val="0"/>
        </c:dLbls>
        <c:marker val="1"/>
        <c:smooth val="0"/>
        <c:axId val="257399888"/>
        <c:axId val="257399496"/>
      </c:lineChart>
      <c:catAx>
        <c:axId val="257398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7399104"/>
        <c:crosses val="autoZero"/>
        <c:auto val="1"/>
        <c:lblAlgn val="ctr"/>
        <c:lblOffset val="100"/>
        <c:noMultiLvlLbl val="0"/>
      </c:catAx>
      <c:valAx>
        <c:axId val="257399104"/>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7398712"/>
        <c:crosses val="autoZero"/>
        <c:crossBetween val="between"/>
      </c:valAx>
      <c:valAx>
        <c:axId val="257399496"/>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57399888"/>
        <c:crosses val="max"/>
        <c:crossBetween val="between"/>
      </c:valAx>
      <c:catAx>
        <c:axId val="257399888"/>
        <c:scaling>
          <c:orientation val="minMax"/>
        </c:scaling>
        <c:delete val="1"/>
        <c:axPos val="b"/>
        <c:numFmt formatCode="General" sourceLinked="1"/>
        <c:majorTickMark val="out"/>
        <c:minorTickMark val="none"/>
        <c:tickLblPos val="nextTo"/>
        <c:crossAx val="257399496"/>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184619273865554"/>
          <c:y val="3.5000141111393331E-2"/>
          <c:w val="0.69290818109492691"/>
          <c:h val="0.82557899174520288"/>
        </c:manualLayout>
      </c:layout>
      <c:barChart>
        <c:barDir val="col"/>
        <c:grouping val="clustered"/>
        <c:varyColors val="0"/>
        <c:ser>
          <c:idx val="4"/>
          <c:order val="0"/>
          <c:tx>
            <c:strRef>
              <c:f>'ECONOMIC IMPACT'!$E$30:$F$30</c:f>
              <c:strCache>
                <c:ptCount val="2"/>
                <c:pt idx="0">
                  <c:v>Total</c:v>
                </c:pt>
                <c:pt idx="1">
                  <c:v>£M</c:v>
                </c:pt>
              </c:strCache>
            </c:strRef>
          </c:tx>
          <c:spPr>
            <a:solidFill>
              <a:schemeClr val="accent1"/>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numRef>
              <c:f>[0]!EIYEARS</c:f>
              <c:numCache>
                <c:formatCode>0</c:formatCode>
                <c:ptCount val="5"/>
                <c:pt idx="0">
                  <c:v>2009</c:v>
                </c:pt>
                <c:pt idx="1">
                  <c:v>2010</c:v>
                </c:pt>
                <c:pt idx="2">
                  <c:v>2011</c:v>
                </c:pt>
                <c:pt idx="3">
                  <c:v>2012</c:v>
                </c:pt>
                <c:pt idx="4">
                  <c:v>2013</c:v>
                </c:pt>
              </c:numCache>
            </c:numRef>
          </c:cat>
          <c:val>
            <c:numRef>
              <c:f>[0]!EIVISTYPETOTAL</c:f>
              <c:numCache>
                <c:formatCode>#,##0.00</c:formatCode>
                <c:ptCount val="5"/>
                <c:pt idx="0">
                  <c:v>80.142004810397211</c:v>
                </c:pt>
                <c:pt idx="1">
                  <c:v>84.54841228829541</c:v>
                </c:pt>
                <c:pt idx="2">
                  <c:v>84.283986454422703</c:v>
                </c:pt>
                <c:pt idx="3">
                  <c:v>87.111745647923485</c:v>
                </c:pt>
                <c:pt idx="4">
                  <c:v>94.627891540846761</c:v>
                </c:pt>
              </c:numCache>
            </c:numRef>
          </c:val>
          <c:extLst/>
        </c:ser>
        <c:dLbls>
          <c:showLegendKey val="0"/>
          <c:showVal val="0"/>
          <c:showCatName val="0"/>
          <c:showSerName val="0"/>
          <c:showPercent val="0"/>
          <c:showBubbleSize val="0"/>
        </c:dLbls>
        <c:gapWidth val="75"/>
        <c:axId val="256804912"/>
        <c:axId val="256804520"/>
      </c:barChart>
      <c:lineChart>
        <c:grouping val="standard"/>
        <c:varyColors val="0"/>
        <c:ser>
          <c:idx val="0"/>
          <c:order val="1"/>
          <c:tx>
            <c:strRef>
              <c:f>'ECONOMIC IMPACT'!$E$32:$F$32</c:f>
              <c:strCache>
                <c:ptCount val="2"/>
                <c:pt idx="0">
                  <c:v>Share of Total</c:v>
                </c:pt>
                <c:pt idx="1">
                  <c:v>%</c:v>
                </c:pt>
              </c:strCache>
            </c:strRef>
          </c:tx>
          <c:spPr>
            <a:ln w="47625" cap="rnd">
              <a:solidFill>
                <a:schemeClr val="tx1">
                  <a:lumMod val="65000"/>
                  <a:lumOff val="35000"/>
                </a:schemeClr>
              </a:solidFill>
              <a:prstDash val="sysDash"/>
              <a:round/>
            </a:ln>
            <a:effectLst/>
          </c:spPr>
          <c:marker>
            <c:symbol val="none"/>
          </c:marker>
          <c:cat>
            <c:numRef>
              <c:f>[0]!EIYEARS</c:f>
              <c:numCache>
                <c:formatCode>0</c:formatCode>
                <c:ptCount val="5"/>
                <c:pt idx="0">
                  <c:v>2009</c:v>
                </c:pt>
                <c:pt idx="1">
                  <c:v>2010</c:v>
                </c:pt>
                <c:pt idx="2">
                  <c:v>2011</c:v>
                </c:pt>
                <c:pt idx="3">
                  <c:v>2012</c:v>
                </c:pt>
                <c:pt idx="4">
                  <c:v>2013</c:v>
                </c:pt>
              </c:numCache>
            </c:numRef>
          </c:cat>
          <c:val>
            <c:numRef>
              <c:f>[0]!EISHAREOFTOTAL</c:f>
              <c:numCache>
                <c:formatCode>0.0%</c:formatCode>
                <c:ptCount val="5"/>
                <c:pt idx="0">
                  <c:v>1</c:v>
                </c:pt>
                <c:pt idx="1">
                  <c:v>1</c:v>
                </c:pt>
                <c:pt idx="2">
                  <c:v>1</c:v>
                </c:pt>
                <c:pt idx="3">
                  <c:v>1</c:v>
                </c:pt>
                <c:pt idx="4">
                  <c:v>1</c:v>
                </c:pt>
              </c:numCache>
            </c:numRef>
          </c:val>
          <c:smooth val="0"/>
        </c:ser>
        <c:dLbls>
          <c:showLegendKey val="0"/>
          <c:showVal val="0"/>
          <c:showCatName val="0"/>
          <c:showSerName val="0"/>
          <c:showPercent val="0"/>
          <c:showBubbleSize val="0"/>
        </c:dLbls>
        <c:marker val="1"/>
        <c:smooth val="0"/>
        <c:axId val="256804128"/>
        <c:axId val="256803736"/>
      </c:lineChart>
      <c:valAx>
        <c:axId val="256803736"/>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6804128"/>
        <c:crosses val="max"/>
        <c:crossBetween val="between"/>
      </c:valAx>
      <c:catAx>
        <c:axId val="256804128"/>
        <c:scaling>
          <c:orientation val="minMax"/>
        </c:scaling>
        <c:delete val="1"/>
        <c:axPos val="b"/>
        <c:numFmt formatCode="0" sourceLinked="1"/>
        <c:majorTickMark val="out"/>
        <c:minorTickMark val="none"/>
        <c:tickLblPos val="nextTo"/>
        <c:crossAx val="256803736"/>
        <c:crosses val="autoZero"/>
        <c:auto val="1"/>
        <c:lblAlgn val="ctr"/>
        <c:lblOffset val="100"/>
        <c:noMultiLvlLbl val="0"/>
      </c:catAx>
      <c:valAx>
        <c:axId val="256804520"/>
        <c:scaling>
          <c:orientation val="minMax"/>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6804912"/>
        <c:crosses val="autoZero"/>
        <c:crossBetween val="between"/>
      </c:valAx>
      <c:catAx>
        <c:axId val="256804912"/>
        <c:scaling>
          <c:orientation val="minMax"/>
        </c:scaling>
        <c:delete val="1"/>
        <c:axPos val="b"/>
        <c:numFmt formatCode="0" sourceLinked="1"/>
        <c:majorTickMark val="out"/>
        <c:minorTickMark val="none"/>
        <c:tickLblPos val="nextTo"/>
        <c:crossAx val="256804520"/>
        <c:crosses val="autoZero"/>
        <c:auto val="1"/>
        <c:lblAlgn val="ctr"/>
        <c:lblOffset val="100"/>
        <c:noMultiLvlLbl val="0"/>
      </c:catAx>
      <c:spPr>
        <a:gradFill flip="none" rotWithShape="1">
          <a:gsLst>
            <a:gs pos="0">
              <a:schemeClr val="accent1">
                <a:alpha val="42000"/>
                <a:lumMod val="4000"/>
                <a:lumOff val="96000"/>
              </a:schemeClr>
            </a:gs>
            <a:gs pos="39000">
              <a:schemeClr val="accent1">
                <a:lumMod val="45000"/>
                <a:lumOff val="55000"/>
                <a:alpha val="42000"/>
              </a:schemeClr>
            </a:gs>
            <a:gs pos="63000">
              <a:schemeClr val="accent1">
                <a:alpha val="62000"/>
                <a:lumMod val="82000"/>
              </a:schemeClr>
            </a:gs>
            <a:gs pos="100000">
              <a:schemeClr val="accent1">
                <a:alpha val="70000"/>
                <a:lumMod val="37000"/>
                <a:lumOff val="63000"/>
              </a:schemeClr>
            </a:gs>
          </a:gsLst>
          <a:lin ang="5400000" scaled="1"/>
          <a:tileRect/>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475430154564013"/>
          <c:y val="3.5000141111393331E-2"/>
          <c:w val="0.71539880431612712"/>
          <c:h val="0.82557899174520288"/>
        </c:manualLayout>
      </c:layout>
      <c:barChart>
        <c:barDir val="col"/>
        <c:grouping val="clustered"/>
        <c:varyColors val="0"/>
        <c:ser>
          <c:idx val="4"/>
          <c:order val="0"/>
          <c:tx>
            <c:strRef>
              <c:f>'VISITOR NUMBERS'!$E$30:$F$30</c:f>
              <c:strCache>
                <c:ptCount val="2"/>
                <c:pt idx="0">
                  <c:v>Total</c:v>
                </c:pt>
                <c:pt idx="1">
                  <c:v>000s</c:v>
                </c:pt>
              </c:strCache>
            </c:strRef>
          </c:tx>
          <c:spPr>
            <a:solidFill>
              <a:srgbClr val="00B050"/>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numRef>
              <c:f>'VISITOR NUMBERS'!EIYEARS</c:f>
              <c:numCache>
                <c:formatCode>0</c:formatCode>
                <c:ptCount val="5"/>
                <c:pt idx="0">
                  <c:v>2009</c:v>
                </c:pt>
                <c:pt idx="1">
                  <c:v>2010</c:v>
                </c:pt>
                <c:pt idx="2">
                  <c:v>2011</c:v>
                </c:pt>
                <c:pt idx="3">
                  <c:v>2012</c:v>
                </c:pt>
                <c:pt idx="4">
                  <c:v>2013</c:v>
                </c:pt>
              </c:numCache>
              <c:extLst xmlns:c15="http://schemas.microsoft.com/office/drawing/2012/chart"/>
            </c:numRef>
          </c:cat>
          <c:val>
            <c:numRef>
              <c:f>'VISITOR NUMBERS'!EIVISTYPETOTAL</c:f>
              <c:numCache>
                <c:formatCode>#,##0.00</c:formatCode>
                <c:ptCount val="5"/>
                <c:pt idx="0">
                  <c:v>629.52525395568227</c:v>
                </c:pt>
                <c:pt idx="1">
                  <c:v>636.97276002791421</c:v>
                </c:pt>
                <c:pt idx="2">
                  <c:v>629.41927707778814</c:v>
                </c:pt>
                <c:pt idx="3">
                  <c:v>643.73735169723886</c:v>
                </c:pt>
                <c:pt idx="4">
                  <c:v>700.77906247732744</c:v>
                </c:pt>
              </c:numCache>
            </c:numRef>
          </c:val>
          <c:extLst/>
        </c:ser>
        <c:dLbls>
          <c:showLegendKey val="0"/>
          <c:showVal val="0"/>
          <c:showCatName val="0"/>
          <c:showSerName val="0"/>
          <c:showPercent val="0"/>
          <c:showBubbleSize val="0"/>
        </c:dLbls>
        <c:gapWidth val="75"/>
        <c:axId val="258346872"/>
        <c:axId val="258346480"/>
      </c:barChart>
      <c:lineChart>
        <c:grouping val="standard"/>
        <c:varyColors val="0"/>
        <c:ser>
          <c:idx val="0"/>
          <c:order val="1"/>
          <c:tx>
            <c:strRef>
              <c:f>'VISITOR NUMBERS'!$E$32:$F$32</c:f>
              <c:strCache>
                <c:ptCount val="2"/>
                <c:pt idx="0">
                  <c:v>Share of Total</c:v>
                </c:pt>
                <c:pt idx="1">
                  <c:v>%</c:v>
                </c:pt>
              </c:strCache>
            </c:strRef>
          </c:tx>
          <c:spPr>
            <a:ln w="50800" cap="rnd">
              <a:solidFill>
                <a:schemeClr val="tx1">
                  <a:lumMod val="65000"/>
                  <a:lumOff val="35000"/>
                </a:schemeClr>
              </a:solidFill>
              <a:prstDash val="sysDash"/>
              <a:round/>
            </a:ln>
            <a:effectLst/>
          </c:spPr>
          <c:marker>
            <c:symbol val="none"/>
          </c:marker>
          <c:cat>
            <c:numRef>
              <c:f>'VISITOR NUMBERS'!EIYEARS</c:f>
              <c:numCache>
                <c:formatCode>0</c:formatCode>
                <c:ptCount val="5"/>
                <c:pt idx="0">
                  <c:v>2009</c:v>
                </c:pt>
                <c:pt idx="1">
                  <c:v>2010</c:v>
                </c:pt>
                <c:pt idx="2">
                  <c:v>2011</c:v>
                </c:pt>
                <c:pt idx="3">
                  <c:v>2012</c:v>
                </c:pt>
                <c:pt idx="4">
                  <c:v>2013</c:v>
                </c:pt>
              </c:numCache>
              <c:extLst xmlns:c15="http://schemas.microsoft.com/office/drawing/2012/chart"/>
            </c:numRef>
          </c:cat>
          <c:val>
            <c:numRef>
              <c:f>'VISITOR NUMBERS'!EISHAREOFTOTAL</c:f>
              <c:numCache>
                <c:formatCode>0.0%</c:formatCode>
                <c:ptCount val="5"/>
                <c:pt idx="0">
                  <c:v>1</c:v>
                </c:pt>
                <c:pt idx="1">
                  <c:v>1</c:v>
                </c:pt>
                <c:pt idx="2">
                  <c:v>1</c:v>
                </c:pt>
                <c:pt idx="3">
                  <c:v>1</c:v>
                </c:pt>
                <c:pt idx="4">
                  <c:v>1</c:v>
                </c:pt>
              </c:numCache>
            </c:numRef>
          </c:val>
          <c:smooth val="0"/>
          <c:extLst/>
        </c:ser>
        <c:dLbls>
          <c:showLegendKey val="0"/>
          <c:showVal val="0"/>
          <c:showCatName val="0"/>
          <c:showSerName val="0"/>
          <c:showPercent val="0"/>
          <c:showBubbleSize val="0"/>
        </c:dLbls>
        <c:marker val="1"/>
        <c:smooth val="0"/>
        <c:axId val="256806480"/>
        <c:axId val="256806088"/>
      </c:lineChart>
      <c:valAx>
        <c:axId val="2568060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6806480"/>
        <c:crosses val="max"/>
        <c:crossBetween val="between"/>
      </c:valAx>
      <c:catAx>
        <c:axId val="256806480"/>
        <c:scaling>
          <c:orientation val="minMax"/>
        </c:scaling>
        <c:delete val="1"/>
        <c:axPos val="b"/>
        <c:numFmt formatCode="0" sourceLinked="1"/>
        <c:majorTickMark val="out"/>
        <c:minorTickMark val="none"/>
        <c:tickLblPos val="nextTo"/>
        <c:crossAx val="256806088"/>
        <c:crosses val="autoZero"/>
        <c:auto val="1"/>
        <c:lblAlgn val="ctr"/>
        <c:lblOffset val="100"/>
        <c:noMultiLvlLbl val="0"/>
      </c:catAx>
      <c:valAx>
        <c:axId val="258346480"/>
        <c:scaling>
          <c:orientation val="minMax"/>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8346872"/>
        <c:crosses val="autoZero"/>
        <c:crossBetween val="between"/>
      </c:valAx>
      <c:catAx>
        <c:axId val="258346872"/>
        <c:scaling>
          <c:orientation val="minMax"/>
        </c:scaling>
        <c:delete val="1"/>
        <c:axPos val="b"/>
        <c:numFmt formatCode="0" sourceLinked="1"/>
        <c:majorTickMark val="out"/>
        <c:minorTickMark val="none"/>
        <c:tickLblPos val="nextTo"/>
        <c:crossAx val="258346480"/>
        <c:crosses val="autoZero"/>
        <c:auto val="1"/>
        <c:lblAlgn val="ctr"/>
        <c:lblOffset val="100"/>
        <c:noMultiLvlLbl val="0"/>
      </c:catAx>
      <c:spPr>
        <a:gradFill flip="none" rotWithShape="1">
          <a:gsLst>
            <a:gs pos="0">
              <a:schemeClr val="accent3">
                <a:alpha val="13000"/>
                <a:lumMod val="0"/>
                <a:lumOff val="100000"/>
              </a:schemeClr>
            </a:gs>
            <a:gs pos="44000">
              <a:schemeClr val="accent3">
                <a:lumMod val="45000"/>
                <a:lumOff val="55000"/>
                <a:alpha val="93000"/>
              </a:schemeClr>
            </a:gs>
            <a:gs pos="70000">
              <a:schemeClr val="accent3">
                <a:lumMod val="75000"/>
                <a:alpha val="67000"/>
              </a:schemeClr>
            </a:gs>
            <a:gs pos="100000">
              <a:schemeClr val="accent3">
                <a:alpha val="67000"/>
                <a:lumMod val="18000"/>
                <a:lumOff val="82000"/>
              </a:schemeClr>
            </a:gs>
          </a:gsLst>
          <a:lin ang="5400000" scaled="1"/>
          <a:tileRect/>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549504228638088"/>
          <c:y val="3.5000141111393331E-2"/>
          <c:w val="0.72465806357538642"/>
          <c:h val="0.82557899174520288"/>
        </c:manualLayout>
      </c:layout>
      <c:barChart>
        <c:barDir val="col"/>
        <c:grouping val="clustered"/>
        <c:varyColors val="0"/>
        <c:ser>
          <c:idx val="4"/>
          <c:order val="0"/>
          <c:tx>
            <c:strRef>
              <c:f>'VISITOR DAYS'!$E$30:$F$30</c:f>
              <c:strCache>
                <c:ptCount val="2"/>
                <c:pt idx="0">
                  <c:v>Total</c:v>
                </c:pt>
                <c:pt idx="1">
                  <c:v>000s</c:v>
                </c:pt>
              </c:strCache>
            </c:strRef>
          </c:tx>
          <c:spPr>
            <a:solidFill>
              <a:srgbClr val="FF0000"/>
            </a:solidFill>
            <a:ln w="3175">
              <a:solidFill>
                <a:schemeClr val="tx1">
                  <a:lumMod val="65000"/>
                  <a:lumOff val="35000"/>
                </a:schemeClr>
              </a:solidFill>
            </a:ln>
            <a:effectLst/>
          </c:spPr>
          <c:invertIfNegative val="0"/>
          <c:dLbls>
            <c:spPr>
              <a:noFill/>
              <a:ln>
                <a:noFill/>
              </a:ln>
              <a:effectLst/>
            </c:spPr>
            <c:txPr>
              <a:bodyPr rot="-5400000" vert="horz" wrap="square" lIns="38100" tIns="19050" rIns="38100" bIns="19050" anchor="ctr">
                <a:spAutoFit/>
              </a:bodyPr>
              <a:lstStyle/>
              <a:p>
                <a:pPr>
                  <a:defRPr b="1">
                    <a:solidFill>
                      <a:schemeClr val="bg1"/>
                    </a:solidFill>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numRef>
              <c:f>'VISITOR DAYS'!EIYEARS</c:f>
              <c:numCache>
                <c:formatCode>0</c:formatCode>
                <c:ptCount val="5"/>
                <c:pt idx="0">
                  <c:v>2009</c:v>
                </c:pt>
                <c:pt idx="1">
                  <c:v>2010</c:v>
                </c:pt>
                <c:pt idx="2">
                  <c:v>2011</c:v>
                </c:pt>
                <c:pt idx="3">
                  <c:v>2012</c:v>
                </c:pt>
                <c:pt idx="4">
                  <c:v>2013</c:v>
                </c:pt>
              </c:numCache>
              <c:extLst xmlns:c15="http://schemas.microsoft.com/office/drawing/2012/chart"/>
            </c:numRef>
          </c:cat>
          <c:val>
            <c:numRef>
              <c:f>'VISITOR DAYS'!EIVISTYPETOTAL</c:f>
              <c:numCache>
                <c:formatCode>#,##0.00</c:formatCode>
                <c:ptCount val="5"/>
                <c:pt idx="0">
                  <c:v>1678.5141259630402</c:v>
                </c:pt>
                <c:pt idx="1">
                  <c:v>1735.0559745573655</c:v>
                </c:pt>
                <c:pt idx="2">
                  <c:v>1654.2781109076282</c:v>
                </c:pt>
                <c:pt idx="3">
                  <c:v>1639.9667041818218</c:v>
                </c:pt>
                <c:pt idx="4">
                  <c:v>1749.0039133046166</c:v>
                </c:pt>
              </c:numCache>
            </c:numRef>
          </c:val>
          <c:extLst/>
        </c:ser>
        <c:dLbls>
          <c:showLegendKey val="0"/>
          <c:showVal val="0"/>
          <c:showCatName val="0"/>
          <c:showSerName val="0"/>
          <c:showPercent val="0"/>
          <c:showBubbleSize val="0"/>
        </c:dLbls>
        <c:gapWidth val="75"/>
        <c:axId val="258349224"/>
        <c:axId val="258348832"/>
      </c:barChart>
      <c:lineChart>
        <c:grouping val="standard"/>
        <c:varyColors val="0"/>
        <c:ser>
          <c:idx val="0"/>
          <c:order val="1"/>
          <c:tx>
            <c:strRef>
              <c:f>'VISITOR DAYS'!$E$32:$F$32</c:f>
              <c:strCache>
                <c:ptCount val="2"/>
                <c:pt idx="0">
                  <c:v>Share of Total</c:v>
                </c:pt>
                <c:pt idx="1">
                  <c:v>%</c:v>
                </c:pt>
              </c:strCache>
            </c:strRef>
          </c:tx>
          <c:spPr>
            <a:ln w="50800" cap="rnd">
              <a:solidFill>
                <a:schemeClr val="accent1">
                  <a:lumMod val="75000"/>
                </a:schemeClr>
              </a:solidFill>
              <a:prstDash val="sysDash"/>
              <a:round/>
            </a:ln>
            <a:effectLst/>
          </c:spPr>
          <c:marker>
            <c:symbol val="none"/>
          </c:marker>
          <c:dPt>
            <c:idx val="1"/>
            <c:bubble3D val="0"/>
            <c:spPr>
              <a:ln w="50800" cap="rnd">
                <a:solidFill>
                  <a:schemeClr val="tx1">
                    <a:lumMod val="65000"/>
                    <a:lumOff val="35000"/>
                  </a:schemeClr>
                </a:solidFill>
                <a:prstDash val="sysDash"/>
                <a:round/>
              </a:ln>
              <a:effectLst/>
            </c:spPr>
          </c:dPt>
          <c:dPt>
            <c:idx val="2"/>
            <c:bubble3D val="0"/>
            <c:spPr>
              <a:ln w="50800" cap="rnd">
                <a:solidFill>
                  <a:schemeClr val="tx1">
                    <a:lumMod val="65000"/>
                    <a:lumOff val="35000"/>
                  </a:schemeClr>
                </a:solidFill>
                <a:prstDash val="sysDash"/>
                <a:round/>
              </a:ln>
              <a:effectLst/>
            </c:spPr>
          </c:dPt>
          <c:cat>
            <c:numRef>
              <c:f>'VISITOR DAYS'!EIYEARS</c:f>
              <c:numCache>
                <c:formatCode>0</c:formatCode>
                <c:ptCount val="5"/>
                <c:pt idx="0">
                  <c:v>2009</c:v>
                </c:pt>
                <c:pt idx="1">
                  <c:v>2010</c:v>
                </c:pt>
                <c:pt idx="2">
                  <c:v>2011</c:v>
                </c:pt>
                <c:pt idx="3">
                  <c:v>2012</c:v>
                </c:pt>
                <c:pt idx="4">
                  <c:v>2013</c:v>
                </c:pt>
              </c:numCache>
              <c:extLst xmlns:c15="http://schemas.microsoft.com/office/drawing/2012/chart"/>
            </c:numRef>
          </c:cat>
          <c:val>
            <c:numRef>
              <c:f>'VISITOR DAYS'!EISHAREOFTOTAL</c:f>
              <c:numCache>
                <c:formatCode>0.0%</c:formatCode>
                <c:ptCount val="5"/>
                <c:pt idx="0">
                  <c:v>1</c:v>
                </c:pt>
                <c:pt idx="1">
                  <c:v>1</c:v>
                </c:pt>
                <c:pt idx="2">
                  <c:v>1</c:v>
                </c:pt>
                <c:pt idx="3">
                  <c:v>1</c:v>
                </c:pt>
                <c:pt idx="4">
                  <c:v>1</c:v>
                </c:pt>
              </c:numCache>
            </c:numRef>
          </c:val>
          <c:smooth val="0"/>
          <c:extLst/>
        </c:ser>
        <c:dLbls>
          <c:showLegendKey val="0"/>
          <c:showVal val="0"/>
          <c:showCatName val="0"/>
          <c:showSerName val="0"/>
          <c:showPercent val="0"/>
          <c:showBubbleSize val="0"/>
        </c:dLbls>
        <c:marker val="1"/>
        <c:smooth val="0"/>
        <c:axId val="258348440"/>
        <c:axId val="258348048"/>
      </c:lineChart>
      <c:valAx>
        <c:axId val="25834804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8348440"/>
        <c:crosses val="max"/>
        <c:crossBetween val="between"/>
      </c:valAx>
      <c:catAx>
        <c:axId val="258348440"/>
        <c:scaling>
          <c:orientation val="minMax"/>
        </c:scaling>
        <c:delete val="1"/>
        <c:axPos val="b"/>
        <c:numFmt formatCode="0" sourceLinked="1"/>
        <c:majorTickMark val="out"/>
        <c:minorTickMark val="none"/>
        <c:tickLblPos val="nextTo"/>
        <c:crossAx val="258348048"/>
        <c:crosses val="autoZero"/>
        <c:auto val="1"/>
        <c:lblAlgn val="ctr"/>
        <c:lblOffset val="100"/>
        <c:noMultiLvlLbl val="0"/>
      </c:catAx>
      <c:valAx>
        <c:axId val="258348832"/>
        <c:scaling>
          <c:orientation val="minMax"/>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8349224"/>
        <c:crosses val="autoZero"/>
        <c:crossBetween val="between"/>
      </c:valAx>
      <c:catAx>
        <c:axId val="258349224"/>
        <c:scaling>
          <c:orientation val="minMax"/>
        </c:scaling>
        <c:delete val="1"/>
        <c:axPos val="b"/>
        <c:numFmt formatCode="0" sourceLinked="1"/>
        <c:majorTickMark val="out"/>
        <c:minorTickMark val="none"/>
        <c:tickLblPos val="nextTo"/>
        <c:crossAx val="258348832"/>
        <c:crosses val="autoZero"/>
        <c:auto val="1"/>
        <c:lblAlgn val="ctr"/>
        <c:lblOffset val="100"/>
        <c:noMultiLvlLbl val="0"/>
      </c:catAx>
      <c:spPr>
        <a:gradFill>
          <a:gsLst>
            <a:gs pos="0">
              <a:schemeClr val="accent3">
                <a:alpha val="42000"/>
                <a:lumMod val="0"/>
                <a:lumOff val="100000"/>
              </a:schemeClr>
            </a:gs>
            <a:gs pos="38000">
              <a:schemeClr val="accent3">
                <a:lumMod val="45000"/>
                <a:lumOff val="55000"/>
                <a:alpha val="69000"/>
              </a:schemeClr>
            </a:gs>
            <a:gs pos="65000">
              <a:schemeClr val="accent6">
                <a:lumMod val="75000"/>
                <a:alpha val="52000"/>
              </a:schemeClr>
            </a:gs>
            <a:gs pos="100000">
              <a:schemeClr val="accent3">
                <a:lumMod val="30000"/>
                <a:lumOff val="70000"/>
                <a:alpha val="54000"/>
              </a:schemeClr>
            </a:gs>
          </a:gsLst>
          <a:lin ang="5400000" scaled="1"/>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651793525809273"/>
          <c:y val="3.5000141111393331E-2"/>
          <c:w val="0.72002843394575677"/>
          <c:h val="0.82557899174520288"/>
        </c:manualLayout>
      </c:layout>
      <c:barChart>
        <c:barDir val="col"/>
        <c:grouping val="clustered"/>
        <c:varyColors val="0"/>
        <c:ser>
          <c:idx val="4"/>
          <c:order val="0"/>
          <c:tx>
            <c:strRef>
              <c:f>EMPLOYMENT!$E$30:$F$30</c:f>
              <c:strCache>
                <c:ptCount val="2"/>
                <c:pt idx="0">
                  <c:v>Total</c:v>
                </c:pt>
                <c:pt idx="1">
                  <c:v>FTEs</c:v>
                </c:pt>
              </c:strCache>
            </c:strRef>
          </c:tx>
          <c:spPr>
            <a:solidFill>
              <a:srgbClr val="F79646"/>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0"/>
            <c:showCatName val="1"/>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EMPLOYMENT!EIYEARS</c:f>
              <c:numCache>
                <c:formatCode>0</c:formatCode>
                <c:ptCount val="5"/>
                <c:pt idx="0">
                  <c:v>2009</c:v>
                </c:pt>
                <c:pt idx="1">
                  <c:v>2010</c:v>
                </c:pt>
                <c:pt idx="2">
                  <c:v>2011</c:v>
                </c:pt>
                <c:pt idx="3">
                  <c:v>2012</c:v>
                </c:pt>
                <c:pt idx="4">
                  <c:v>2013</c:v>
                </c:pt>
              </c:numCache>
            </c:numRef>
          </c:cat>
          <c:val>
            <c:numRef>
              <c:f>EMPLOYMENT!EIVISTYPETOTAL</c:f>
              <c:numCache>
                <c:formatCode>#,##0</c:formatCode>
                <c:ptCount val="5"/>
                <c:pt idx="0">
                  <c:v>2671.3198065491024</c:v>
                </c:pt>
                <c:pt idx="1">
                  <c:v>2670.8951771999168</c:v>
                </c:pt>
                <c:pt idx="2">
                  <c:v>2577.7051330017935</c:v>
                </c:pt>
                <c:pt idx="3">
                  <c:v>2586.9651405550908</c:v>
                </c:pt>
                <c:pt idx="4">
                  <c:v>2680.4146422707395</c:v>
                </c:pt>
              </c:numCache>
            </c:numRef>
          </c:val>
          <c:extLst/>
        </c:ser>
        <c:dLbls>
          <c:showLegendKey val="0"/>
          <c:showVal val="0"/>
          <c:showCatName val="0"/>
          <c:showSerName val="0"/>
          <c:showPercent val="0"/>
          <c:showBubbleSize val="0"/>
        </c:dLbls>
        <c:gapWidth val="75"/>
        <c:axId val="257508928"/>
        <c:axId val="257508536"/>
      </c:barChart>
      <c:lineChart>
        <c:grouping val="standard"/>
        <c:varyColors val="0"/>
        <c:ser>
          <c:idx val="0"/>
          <c:order val="1"/>
          <c:tx>
            <c:v>Share of Total</c:v>
          </c:tx>
          <c:spPr>
            <a:ln w="50800" cap="rnd">
              <a:solidFill>
                <a:schemeClr val="tx1">
                  <a:lumMod val="65000"/>
                  <a:lumOff val="35000"/>
                </a:schemeClr>
              </a:solidFill>
              <a:prstDash val="sysDash"/>
              <a:round/>
            </a:ln>
            <a:effectLst/>
          </c:spPr>
          <c:marker>
            <c:symbol val="none"/>
          </c:marker>
          <c:cat>
            <c:numRef>
              <c:f>EMPLOYMENT!EIYEARS</c:f>
              <c:numCache>
                <c:formatCode>0</c:formatCode>
                <c:ptCount val="5"/>
                <c:pt idx="0">
                  <c:v>2009</c:v>
                </c:pt>
                <c:pt idx="1">
                  <c:v>2010</c:v>
                </c:pt>
                <c:pt idx="2">
                  <c:v>2011</c:v>
                </c:pt>
                <c:pt idx="3">
                  <c:v>2012</c:v>
                </c:pt>
                <c:pt idx="4">
                  <c:v>2013</c:v>
                </c:pt>
              </c:numCache>
            </c:numRef>
          </c:cat>
          <c:val>
            <c:numRef>
              <c:f>EMPLOYMENT!EISHAREOFTOTAL</c:f>
              <c:numCache>
                <c:formatCode>0.0%</c:formatCode>
                <c:ptCount val="5"/>
                <c:pt idx="0">
                  <c:v>1</c:v>
                </c:pt>
                <c:pt idx="1">
                  <c:v>1</c:v>
                </c:pt>
                <c:pt idx="2">
                  <c:v>1</c:v>
                </c:pt>
                <c:pt idx="3">
                  <c:v>1</c:v>
                </c:pt>
                <c:pt idx="4">
                  <c:v>1</c:v>
                </c:pt>
              </c:numCache>
            </c:numRef>
          </c:val>
          <c:smooth val="0"/>
        </c:ser>
        <c:dLbls>
          <c:showLegendKey val="0"/>
          <c:showVal val="0"/>
          <c:showCatName val="0"/>
          <c:showSerName val="0"/>
          <c:showPercent val="0"/>
          <c:showBubbleSize val="0"/>
        </c:dLbls>
        <c:marker val="1"/>
        <c:smooth val="0"/>
        <c:axId val="257508144"/>
        <c:axId val="257507752"/>
      </c:lineChart>
      <c:valAx>
        <c:axId val="257507752"/>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7508144"/>
        <c:crosses val="max"/>
        <c:crossBetween val="between"/>
      </c:valAx>
      <c:catAx>
        <c:axId val="257508144"/>
        <c:scaling>
          <c:orientation val="minMax"/>
        </c:scaling>
        <c:delete val="1"/>
        <c:axPos val="b"/>
        <c:numFmt formatCode="0" sourceLinked="1"/>
        <c:majorTickMark val="out"/>
        <c:minorTickMark val="none"/>
        <c:tickLblPos val="nextTo"/>
        <c:crossAx val="257507752"/>
        <c:crosses val="autoZero"/>
        <c:auto val="1"/>
        <c:lblAlgn val="ctr"/>
        <c:lblOffset val="100"/>
        <c:noMultiLvlLbl val="0"/>
      </c:catAx>
      <c:valAx>
        <c:axId val="25750853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57508928"/>
        <c:crosses val="autoZero"/>
        <c:crossBetween val="between"/>
      </c:valAx>
      <c:catAx>
        <c:axId val="257508928"/>
        <c:scaling>
          <c:orientation val="minMax"/>
        </c:scaling>
        <c:delete val="1"/>
        <c:axPos val="b"/>
        <c:numFmt formatCode="0" sourceLinked="1"/>
        <c:majorTickMark val="out"/>
        <c:minorTickMark val="none"/>
        <c:tickLblPos val="nextTo"/>
        <c:crossAx val="257508536"/>
        <c:crosses val="autoZero"/>
        <c:auto val="1"/>
        <c:lblAlgn val="ctr"/>
        <c:lblOffset val="100"/>
        <c:noMultiLvlLbl val="0"/>
      </c:catAx>
      <c:spPr>
        <a:gradFill flip="none" rotWithShape="1">
          <a:gsLst>
            <a:gs pos="0">
              <a:schemeClr val="accent6">
                <a:lumMod val="0"/>
                <a:lumOff val="100000"/>
              </a:schemeClr>
            </a:gs>
            <a:gs pos="46000">
              <a:schemeClr val="accent6">
                <a:lumMod val="52000"/>
                <a:lumOff val="48000"/>
                <a:alpha val="44000"/>
              </a:schemeClr>
            </a:gs>
            <a:gs pos="74000">
              <a:schemeClr val="accent6">
                <a:lumMod val="89000"/>
                <a:lumOff val="11000"/>
              </a:schemeClr>
            </a:gs>
            <a:gs pos="100000">
              <a:schemeClr val="accent6">
                <a:lumMod val="30000"/>
                <a:lumOff val="70000"/>
              </a:schemeClr>
            </a:gs>
          </a:gsLst>
          <a:lin ang="5400000" scaled="1"/>
          <a:tileRect/>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68949103389388"/>
          <c:y val="0.1178765102709269"/>
          <c:w val="0.55161229174289461"/>
          <c:h val="0.88212348972907317"/>
        </c:manualLayout>
      </c:layout>
      <c:doughnutChart>
        <c:varyColors val="1"/>
        <c:ser>
          <c:idx val="0"/>
          <c:order val="0"/>
          <c:tx>
            <c:strRef>
              <c:f>'COMPARATIVE HEADLINES'!$P$26</c:f>
              <c:strCache>
                <c:ptCount val="1"/>
                <c:pt idx="0">
                  <c:v>2013</c:v>
                </c:pt>
              </c:strCache>
            </c:strRef>
          </c:tx>
          <c:spPr>
            <a:effectLst>
              <a:outerShdw blurRad="50800" dist="1104900" dir="2700000" algn="tl" rotWithShape="0">
                <a:schemeClr val="accent6">
                  <a:lumMod val="60000"/>
                  <a:lumOff val="40000"/>
                  <a:alpha val="7000"/>
                </a:schemeClr>
              </a:outerShdw>
            </a:effectLst>
          </c:spPr>
          <c:explosion val="2"/>
          <c:dPt>
            <c:idx val="0"/>
            <c:bubble3D val="0"/>
            <c:spPr>
              <a:solidFill>
                <a:schemeClr val="tx2"/>
              </a:solidFill>
              <a:ln>
                <a:noFill/>
              </a:ln>
              <a:effectLst>
                <a:outerShdw blurRad="50800" dist="1104900" dir="2700000" algn="tl" rotWithShape="0">
                  <a:schemeClr val="accent6">
                    <a:lumMod val="60000"/>
                    <a:lumOff val="40000"/>
                    <a:alpha val="7000"/>
                  </a:schemeClr>
                </a:outerShdw>
              </a:effectLst>
            </c:spPr>
          </c:dPt>
          <c:dPt>
            <c:idx val="1"/>
            <c:bubble3D val="0"/>
            <c:spPr>
              <a:solidFill>
                <a:schemeClr val="accent2"/>
              </a:solidFill>
              <a:ln>
                <a:noFill/>
              </a:ln>
              <a:effectLst>
                <a:outerShdw blurRad="50800" dist="1104900" dir="2700000" algn="tl" rotWithShape="0">
                  <a:schemeClr val="accent6">
                    <a:lumMod val="60000"/>
                    <a:lumOff val="40000"/>
                    <a:alpha val="7000"/>
                  </a:schemeClr>
                </a:outerShdw>
              </a:effectLst>
            </c:spPr>
          </c:dPt>
          <c:dPt>
            <c:idx val="2"/>
            <c:bubble3D val="0"/>
            <c:spPr>
              <a:solidFill>
                <a:schemeClr val="accent6">
                  <a:lumMod val="75000"/>
                </a:schemeClr>
              </a:solidFill>
              <a:ln>
                <a:noFill/>
              </a:ln>
              <a:effectLst>
                <a:outerShdw blurRad="50800" dist="1104900" dir="2700000" algn="tl" rotWithShape="0">
                  <a:schemeClr val="accent6">
                    <a:lumMod val="60000"/>
                    <a:lumOff val="40000"/>
                    <a:alpha val="7000"/>
                  </a:schemeClr>
                </a:outerShdw>
              </a:effectLst>
            </c:spPr>
          </c:dPt>
          <c:dPt>
            <c:idx val="3"/>
            <c:bubble3D val="0"/>
            <c:spPr>
              <a:solidFill>
                <a:schemeClr val="accent1"/>
              </a:solidFill>
              <a:ln>
                <a:noFill/>
              </a:ln>
              <a:effectLst>
                <a:outerShdw blurRad="50800" dist="1104900" dir="2700000" algn="tl" rotWithShape="0">
                  <a:schemeClr val="accent6">
                    <a:lumMod val="60000"/>
                    <a:lumOff val="40000"/>
                    <a:alpha val="7000"/>
                  </a:schemeClr>
                </a:outerShdw>
              </a:effectLst>
            </c:spPr>
          </c:dPt>
          <c:dPt>
            <c:idx val="4"/>
            <c:bubble3D val="0"/>
            <c:spPr>
              <a:solidFill>
                <a:schemeClr val="accent4">
                  <a:lumMod val="60000"/>
                  <a:lumOff val="40000"/>
                </a:schemeClr>
              </a:solidFill>
              <a:ln>
                <a:noFill/>
              </a:ln>
              <a:effectLst>
                <a:outerShdw blurRad="50800" dist="1104900" dir="2700000" algn="tl" rotWithShape="0">
                  <a:schemeClr val="accent6">
                    <a:lumMod val="60000"/>
                    <a:lumOff val="40000"/>
                    <a:alpha val="7000"/>
                  </a:schemeClr>
                </a:outerShdw>
              </a:effectLst>
            </c:spPr>
          </c:dPt>
          <c:dPt>
            <c:idx val="5"/>
            <c:bubble3D val="0"/>
            <c:spPr>
              <a:solidFill>
                <a:schemeClr val="accent3">
                  <a:lumMod val="75000"/>
                </a:schemeClr>
              </a:solidFill>
              <a:ln>
                <a:noFill/>
              </a:ln>
              <a:effectLst>
                <a:outerShdw blurRad="50800" dist="1104900" dir="2700000" algn="tl" rotWithShape="0">
                  <a:schemeClr val="accent6">
                    <a:lumMod val="60000"/>
                    <a:lumOff val="40000"/>
                    <a:alpha val="7000"/>
                  </a:schemeClr>
                </a:outerShdw>
              </a:effectLst>
            </c:spPr>
          </c:dPt>
          <c:dLbls>
            <c:numFmt formatCode="0.0%" sourceLinked="0"/>
            <c:spPr>
              <a:noFill/>
              <a:ln>
                <a:noFill/>
              </a:ln>
              <a:effectLst/>
            </c:spPr>
            <c:txPr>
              <a:bodyPr rot="0" spcFirstLastPara="1" vertOverflow="overflow" horzOverflow="overflow" vert="horz" wrap="square" lIns="0" tIns="0" rIns="0" bIns="0" anchor="t" anchorCtr="0">
                <a:spAutoFit/>
              </a:bodyPr>
              <a:lstStyle/>
              <a:p>
                <a:pPr>
                  <a:defRPr sz="1000" b="1" i="0" u="none" strike="noStrike" kern="1200" baseline="0">
                    <a:solidFill>
                      <a:schemeClr val="lt1"/>
                    </a:solidFill>
                    <a:effectLst>
                      <a:outerShdw blurRad="457200" dir="6120000" algn="ctr" rotWithShape="0">
                        <a:schemeClr val="tx1"/>
                      </a:outerShdw>
                    </a:effectLst>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rect">
                    <a:avLst/>
                  </a:prstGeom>
                  <a:pattFill prst="pct75">
                    <a:fgClr>
                      <a:schemeClr val="dk1">
                        <a:lumMod val="75000"/>
                        <a:lumOff val="25000"/>
                      </a:schemeClr>
                    </a:fgClr>
                    <a:bgClr>
                      <a:schemeClr val="dk1">
                        <a:lumMod val="65000"/>
                        <a:lumOff val="35000"/>
                      </a:schemeClr>
                    </a:bgClr>
                  </a:pattFill>
                  <a:ln>
                    <a:noFill/>
                  </a:ln>
                </c15:spPr>
                <c15:layout/>
              </c:ext>
            </c:extLst>
          </c:dLbls>
          <c:cat>
            <c:strRef>
              <c:f>('COMPARATIVE HEADLINES'!$M$27:$O$31,'COMPARATIVE HEADLINES'!$M$33)</c:f>
              <c:strCache>
                <c:ptCount val="6"/>
                <c:pt idx="0">
                  <c:v>Accommodation</c:v>
                </c:pt>
                <c:pt idx="1">
                  <c:v>Food &amp; Drink</c:v>
                </c:pt>
                <c:pt idx="2">
                  <c:v>Recreation</c:v>
                </c:pt>
                <c:pt idx="3">
                  <c:v>Shopping</c:v>
                </c:pt>
                <c:pt idx="4">
                  <c:v>Transport</c:v>
                </c:pt>
                <c:pt idx="5">
                  <c:v>Indirect</c:v>
                </c:pt>
              </c:strCache>
            </c:strRef>
          </c:cat>
          <c:val>
            <c:numRef>
              <c:f>('COMPARATIVE HEADLINES'!$P$27:$P$31,'COMPARATIVE HEADLINES'!$P$33)</c:f>
              <c:numCache>
                <c:formatCode>#,##0</c:formatCode>
                <c:ptCount val="6"/>
                <c:pt idx="0">
                  <c:v>1374.5173892001558</c:v>
                </c:pt>
                <c:pt idx="1">
                  <c:v>306.4320889514039</c:v>
                </c:pt>
                <c:pt idx="2">
                  <c:v>134.48111237263748</c:v>
                </c:pt>
                <c:pt idx="3">
                  <c:v>171.02527636865571</c:v>
                </c:pt>
                <c:pt idx="4">
                  <c:v>301.08737894449274</c:v>
                </c:pt>
                <c:pt idx="5">
                  <c:v>392.87139643339378</c:v>
                </c:pt>
              </c:numCache>
            </c:numRef>
          </c:val>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2.260643573841303E-2"/>
          <c:y val="3.6829461399969635E-2"/>
          <c:w val="0.37539942331801368"/>
          <c:h val="0.9402258085507906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107268431565171"/>
          <c:y val="0.16467507373131296"/>
          <c:w val="0.69666058545006448"/>
          <c:h val="0.77512466667930702"/>
        </c:manualLayout>
      </c:layout>
      <c:barChart>
        <c:barDir val="bar"/>
        <c:grouping val="clustered"/>
        <c:varyColors val="0"/>
        <c:ser>
          <c:idx val="0"/>
          <c:order val="0"/>
          <c:tx>
            <c:v>Establishments</c:v>
          </c:tx>
          <c:spPr>
            <a:solidFill>
              <a:schemeClr val="bg1">
                <a:lumMod val="50000"/>
              </a:schemeClr>
            </a:solidFill>
            <a:ln w="38100">
              <a:solidFill>
                <a:schemeClr val="bg1"/>
              </a:solidFill>
            </a:ln>
            <a:effectLst>
              <a:outerShdw blurRad="63500" sx="102000" sy="102000" algn="ctr" rotWithShape="0">
                <a:prstClr val="black">
                  <a:alpha val="40000"/>
                </a:prstClr>
              </a:outerShdw>
            </a:effectLst>
          </c:spPr>
          <c:invertIfNegative val="0"/>
          <c:dPt>
            <c:idx val="3"/>
            <c:invertIfNegative val="0"/>
            <c:bubble3D val="0"/>
          </c:dPt>
          <c:dPt>
            <c:idx val="5"/>
            <c:invertIfNegative val="0"/>
            <c:bubble3D val="0"/>
          </c:dPt>
          <c:dLbls>
            <c:spPr>
              <a:solidFill>
                <a:schemeClr val="accent3">
                  <a:lumMod val="20000"/>
                  <a:lumOff val="80000"/>
                  <a:alpha val="75000"/>
                </a:schemeClr>
              </a:solidFill>
              <a:ln>
                <a:noFill/>
              </a:ln>
              <a:effectLst>
                <a:outerShdw blurRad="63500" sx="102000" sy="102000" algn="ctr"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ln w="6350">
                      <a:solidFill>
                        <a:schemeClr val="accent1">
                          <a:lumMod val="50000"/>
                        </a:schemeClr>
                      </a:solidFill>
                    </a:ln>
                    <a:solidFill>
                      <a:schemeClr val="bg1"/>
                    </a:solidFill>
                    <a:latin typeface="+mn-lt"/>
                    <a:ea typeface="+mn-ea"/>
                    <a:cs typeface="+mn-cs"/>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[0]!NSA.estlabel</c:f>
              <c:numCache>
                <c:formatCode>#,##0</c:formatCode>
                <c:ptCount val="3"/>
                <c:pt idx="0">
                  <c:v>177</c:v>
                </c:pt>
                <c:pt idx="1">
                  <c:v>19</c:v>
                </c:pt>
                <c:pt idx="2">
                  <c:v>196</c:v>
                </c:pt>
              </c:numCache>
            </c:numRef>
          </c:cat>
          <c:val>
            <c:numRef>
              <c:f>[0]!NSA.ESTVALUE</c:f>
              <c:numCache>
                <c:formatCode>#,##0</c:formatCode>
                <c:ptCount val="3"/>
                <c:pt idx="0">
                  <c:v>-177</c:v>
                </c:pt>
                <c:pt idx="1">
                  <c:v>-19</c:v>
                </c:pt>
                <c:pt idx="2">
                  <c:v>-196</c:v>
                </c:pt>
              </c:numCache>
            </c:numRef>
          </c:val>
          <c:extLst/>
        </c:ser>
        <c:dLbls>
          <c:showLegendKey val="0"/>
          <c:showVal val="0"/>
          <c:showCatName val="0"/>
          <c:showSerName val="0"/>
          <c:showPercent val="0"/>
          <c:showBubbleSize val="0"/>
        </c:dLbls>
        <c:gapWidth val="0"/>
        <c:overlap val="10"/>
        <c:axId val="257510104"/>
        <c:axId val="257510496"/>
      </c:barChart>
      <c:catAx>
        <c:axId val="257510104"/>
        <c:scaling>
          <c:orientation val="minMax"/>
        </c:scaling>
        <c:delete val="1"/>
        <c:axPos val="l"/>
        <c:numFmt formatCode="#,##0" sourceLinked="1"/>
        <c:majorTickMark val="out"/>
        <c:minorTickMark val="none"/>
        <c:tickLblPos val="nextTo"/>
        <c:crossAx val="257510496"/>
        <c:crosses val="autoZero"/>
        <c:auto val="1"/>
        <c:lblAlgn val="ctr"/>
        <c:lblOffset val="100"/>
        <c:noMultiLvlLbl val="0"/>
      </c:catAx>
      <c:valAx>
        <c:axId val="257510496"/>
        <c:scaling>
          <c:orientation val="minMax"/>
        </c:scaling>
        <c:delete val="1"/>
        <c:axPos val="b"/>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crossAx val="257510104"/>
        <c:crosses val="autoZero"/>
        <c:crossBetween val="between"/>
      </c:valAx>
      <c:spPr>
        <a:solidFill>
          <a:schemeClr val="accent3">
            <a:lumMod val="60000"/>
            <a:lumOff val="40000"/>
          </a:schemeClr>
        </a:solid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377367911622431"/>
          <c:y val="0.19701911628394023"/>
          <c:w val="0.43821755424183706"/>
          <c:h val="0.74278059818485576"/>
        </c:manualLayout>
      </c:layout>
      <c:barChart>
        <c:barDir val="bar"/>
        <c:grouping val="clustered"/>
        <c:varyColors val="0"/>
        <c:ser>
          <c:idx val="0"/>
          <c:order val="0"/>
          <c:tx>
            <c:v>Bed Spaces</c:v>
          </c:tx>
          <c:spPr>
            <a:solidFill>
              <a:schemeClr val="bg1">
                <a:lumMod val="50000"/>
              </a:schemeClr>
            </a:solidFill>
            <a:ln w="38100">
              <a:solidFill>
                <a:schemeClr val="bg1"/>
              </a:solidFill>
            </a:ln>
            <a:effectLst>
              <a:outerShdw blurRad="63500" sx="102000" sy="102000" algn="ctr" rotWithShape="0">
                <a:prstClr val="black">
                  <a:alpha val="40000"/>
                </a:prstClr>
              </a:outerShdw>
            </a:effectLst>
          </c:spPr>
          <c:invertIfNegative val="0"/>
          <c:dPt>
            <c:idx val="3"/>
            <c:invertIfNegative val="0"/>
            <c:bubble3D val="0"/>
          </c:dPt>
          <c:dPt>
            <c:idx val="5"/>
            <c:invertIfNegative val="0"/>
            <c:bubble3D val="0"/>
          </c:dPt>
          <c:dLbls>
            <c:spPr>
              <a:solidFill>
                <a:schemeClr val="accent3">
                  <a:lumMod val="20000"/>
                  <a:lumOff val="80000"/>
                  <a:alpha val="75000"/>
                </a:schemeClr>
              </a:solidFill>
              <a:ln>
                <a:noFill/>
              </a:ln>
              <a:effectLst>
                <a:outerShdw blurRad="63500" sx="102000" sy="102000" algn="ctr" rotWithShape="0">
                  <a:prstClr val="black">
                    <a:alpha val="40000"/>
                  </a:prstClr>
                </a:outerShdw>
              </a:effectLst>
            </c:spPr>
            <c:txPr>
              <a:bodyPr rot="0" spcFirstLastPara="1" vertOverflow="ellipsis" vert="horz" wrap="square" lIns="38100" tIns="19050" rIns="38100" bIns="19050" anchor="ctr" anchorCtr="0">
                <a:spAutoFit/>
              </a:bodyPr>
              <a:lstStyle/>
              <a:p>
                <a:pPr algn="ctr">
                  <a:defRPr lang="en-GB" sz="1400" b="1" i="0" u="none" strike="noStrike" kern="1200" baseline="0">
                    <a:ln w="6350">
                      <a:solidFill>
                        <a:schemeClr val="accent1">
                          <a:lumMod val="50000"/>
                        </a:schemeClr>
                      </a:solidFill>
                    </a:ln>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[0]!NSA.bedlabel</c:f>
              <c:strCache>
                <c:ptCount val="3"/>
                <c:pt idx="0">
                  <c:v>Self-Catering</c:v>
                </c:pt>
                <c:pt idx="1">
                  <c:v>Touring/Camping</c:v>
                </c:pt>
                <c:pt idx="2">
                  <c:v>Non-Serviced Accommodation Total </c:v>
                </c:pt>
              </c:strCache>
            </c:strRef>
          </c:cat>
          <c:val>
            <c:numRef>
              <c:f>[0]!NSA.bedvalue</c:f>
              <c:numCache>
                <c:formatCode>#,##0</c:formatCode>
                <c:ptCount val="3"/>
                <c:pt idx="0">
                  <c:v>2014</c:v>
                </c:pt>
                <c:pt idx="1">
                  <c:v>2211</c:v>
                </c:pt>
                <c:pt idx="2">
                  <c:v>4225</c:v>
                </c:pt>
              </c:numCache>
            </c:numRef>
          </c:val>
          <c:extLst/>
        </c:ser>
        <c:dLbls>
          <c:showLegendKey val="0"/>
          <c:showVal val="0"/>
          <c:showCatName val="0"/>
          <c:showSerName val="0"/>
          <c:showPercent val="0"/>
          <c:showBubbleSize val="0"/>
        </c:dLbls>
        <c:gapWidth val="0"/>
        <c:overlap val="10"/>
        <c:axId val="257511280"/>
        <c:axId val="258890624"/>
      </c:barChart>
      <c:catAx>
        <c:axId val="257511280"/>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n-US"/>
          </a:p>
        </c:txPr>
        <c:crossAx val="258890624"/>
        <c:crosses val="autoZero"/>
        <c:auto val="1"/>
        <c:lblAlgn val="ctr"/>
        <c:lblOffset val="100"/>
        <c:noMultiLvlLbl val="0"/>
      </c:catAx>
      <c:valAx>
        <c:axId val="258890624"/>
        <c:scaling>
          <c:orientation val="minMax"/>
        </c:scaling>
        <c:delete val="1"/>
        <c:axPos val="b"/>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crossAx val="257511280"/>
        <c:crosses val="autoZero"/>
        <c:crossBetween val="between"/>
      </c:valAx>
      <c:spPr>
        <a:solidFill>
          <a:schemeClr val="accent3">
            <a:lumMod val="60000"/>
            <a:lumOff val="40000"/>
          </a:schemeClr>
        </a:solid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mn-lt"/>
                <a:ea typeface="+mn-ea"/>
                <a:cs typeface="+mn-cs"/>
              </a:defRPr>
            </a:pPr>
            <a:r>
              <a:rPr lang="en-US" sz="1400" b="1" i="0" u="none" strike="noStrike" kern="1200" spc="0" baseline="0">
                <a:solidFill>
                  <a:sysClr val="windowText" lastClr="000000">
                    <a:lumMod val="65000"/>
                    <a:lumOff val="35000"/>
                  </a:sysClr>
                </a:solidFill>
                <a:latin typeface="+mn-lt"/>
                <a:ea typeface="+mn-ea"/>
                <a:cs typeface="+mn-cs"/>
              </a:rPr>
              <a:t>Bed Spaces by Month</a:t>
            </a:r>
          </a:p>
        </c:rich>
      </c:tx>
      <c:layout>
        <c:manualLayout>
          <c:xMode val="edge"/>
          <c:yMode val="edge"/>
          <c:x val="0.24388643270558807"/>
          <c:y val="1.1552832604458756E-2"/>
        </c:manualLayout>
      </c:layout>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2.7210884353741496E-2"/>
          <c:y val="0.21170383813298951"/>
          <c:w val="0.94557823129251706"/>
          <c:h val="0.59479394795312457"/>
        </c:manualLayout>
      </c:layout>
      <c:barChart>
        <c:barDir val="col"/>
        <c:grouping val="clustered"/>
        <c:varyColors val="0"/>
        <c:ser>
          <c:idx val="0"/>
          <c:order val="0"/>
          <c:tx>
            <c:strRef>
              <c:f>'ACCOMMODATION SUPPLY'!$E$35</c:f>
              <c:strCache>
                <c:ptCount val="1"/>
                <c:pt idx="0">
                  <c:v>2013.Accommodation.Serviced Accommodation</c:v>
                </c:pt>
              </c:strCache>
            </c:strRef>
          </c:tx>
          <c:spPr>
            <a:solidFill>
              <a:schemeClr val="tx1">
                <a:lumMod val="65000"/>
                <a:lumOff val="35000"/>
              </a:schemeClr>
            </a:solidFill>
            <a:ln w="38100">
              <a:solidFill>
                <a:schemeClr val="bg1"/>
              </a:solidFill>
            </a:ln>
            <a:effectLst>
              <a:outerShdw blurRad="63500" sx="102000" sy="102000" algn="ctr" rotWithShape="0">
                <a:prstClr val="black">
                  <a:alpha val="40000"/>
                </a:prstClr>
              </a:outerShdw>
            </a:effectLst>
          </c:spPr>
          <c:invertIfNegative val="0"/>
          <c:dLbls>
            <c:spPr>
              <a:solidFill>
                <a:schemeClr val="accent3">
                  <a:lumMod val="20000"/>
                  <a:lumOff val="80000"/>
                  <a:alpha val="25000"/>
                </a:schemeClr>
              </a:solidFill>
              <a:ln>
                <a:noFill/>
              </a:ln>
              <a:effectLst>
                <a:outerShdw blurRad="63500" sx="102000" sy="102000" algn="ctr" rotWithShape="0">
                  <a:prstClr val="black">
                    <a:alpha val="40000"/>
                  </a:prstClr>
                </a:outerShdw>
              </a:effectLst>
            </c:spPr>
            <c:txPr>
              <a:bodyPr rot="-5400000" spcFirstLastPara="1" vertOverflow="ellipsis" wrap="square" lIns="38100" tIns="19050" rIns="38100" bIns="19050" anchor="ctr" anchorCtr="0">
                <a:spAutoFit/>
              </a:bodyPr>
              <a:lstStyle/>
              <a:p>
                <a:pPr algn="ctr">
                  <a:defRPr lang="en-GB" sz="1400" b="1" i="0" u="none" strike="noStrike" kern="1200" baseline="0">
                    <a:ln w="6350">
                      <a:solidFill>
                        <a:schemeClr val="accent1">
                          <a:lumMod val="50000"/>
                        </a:schemeClr>
                      </a:solid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'ACCOMMODATION SUPPLY'!$F$34:$Q$34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'ACCOMMODATION SUPPLY'!$F$36:$Q$36</c:f>
              <c:numCache>
                <c:formatCode>#,##0</c:formatCode>
                <c:ptCount val="12"/>
                <c:pt idx="0">
                  <c:v>1087</c:v>
                </c:pt>
                <c:pt idx="1">
                  <c:v>1075</c:v>
                </c:pt>
                <c:pt idx="2">
                  <c:v>1694</c:v>
                </c:pt>
                <c:pt idx="3">
                  <c:v>4193</c:v>
                </c:pt>
                <c:pt idx="4">
                  <c:v>4210</c:v>
                </c:pt>
                <c:pt idx="5">
                  <c:v>4225</c:v>
                </c:pt>
                <c:pt idx="6">
                  <c:v>4225</c:v>
                </c:pt>
                <c:pt idx="7">
                  <c:v>4225</c:v>
                </c:pt>
                <c:pt idx="8">
                  <c:v>4225</c:v>
                </c:pt>
                <c:pt idx="9">
                  <c:v>4042</c:v>
                </c:pt>
                <c:pt idx="10">
                  <c:v>1242</c:v>
                </c:pt>
                <c:pt idx="11">
                  <c:v>1087</c:v>
                </c:pt>
              </c:numCache>
            </c:numRef>
          </c:val>
        </c:ser>
        <c:dLbls>
          <c:showLegendKey val="0"/>
          <c:showVal val="0"/>
          <c:showCatName val="0"/>
          <c:showSerName val="0"/>
          <c:showPercent val="0"/>
          <c:showBubbleSize val="0"/>
        </c:dLbls>
        <c:gapWidth val="0"/>
        <c:overlap val="-27"/>
        <c:axId val="258891408"/>
        <c:axId val="258891800"/>
      </c:barChart>
      <c:catAx>
        <c:axId val="25889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258891800"/>
        <c:crosses val="autoZero"/>
        <c:auto val="1"/>
        <c:lblAlgn val="ctr"/>
        <c:lblOffset val="100"/>
        <c:noMultiLvlLbl val="0"/>
      </c:catAx>
      <c:valAx>
        <c:axId val="258891800"/>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58891408"/>
        <c:crosses val="autoZero"/>
        <c:crossBetween val="between"/>
      </c:valAx>
      <c:spPr>
        <a:solidFill>
          <a:schemeClr val="accent3">
            <a:lumMod val="60000"/>
            <a:lumOff val="40000"/>
          </a:schemeClr>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20489134728261"/>
          <c:y val="0.1698170968997276"/>
          <c:w val="0.76455609623585796"/>
          <c:h val="0.77656202706792921"/>
        </c:manualLayout>
      </c:layout>
      <c:barChart>
        <c:barDir val="bar"/>
        <c:grouping val="clustered"/>
        <c:varyColors val="0"/>
        <c:ser>
          <c:idx val="0"/>
          <c:order val="0"/>
          <c:tx>
            <c:v>Establishments</c:v>
          </c:tx>
          <c:spPr>
            <a:solidFill>
              <a:schemeClr val="bg1">
                <a:lumMod val="50000"/>
              </a:schemeClr>
            </a:solidFill>
            <a:ln w="38100">
              <a:solidFill>
                <a:schemeClr val="bg1"/>
              </a:solidFill>
            </a:ln>
            <a:effectLst>
              <a:outerShdw blurRad="63500" sx="102000" sy="102000" algn="ctr" rotWithShape="0">
                <a:prstClr val="black">
                  <a:alpha val="40000"/>
                </a:prstClr>
              </a:outerShdw>
            </a:effectLst>
          </c:spPr>
          <c:invertIfNegative val="0"/>
          <c:dPt>
            <c:idx val="5"/>
            <c:invertIfNegative val="0"/>
            <c:bubble3D val="0"/>
          </c:dPt>
          <c:dLbls>
            <c:spPr>
              <a:solidFill>
                <a:schemeClr val="accent3">
                  <a:lumMod val="20000"/>
                  <a:lumOff val="80000"/>
                  <a:alpha val="75000"/>
                </a:schemeClr>
              </a:solidFill>
              <a:ln>
                <a:noFill/>
              </a:ln>
              <a:effectLst>
                <a:outerShdw blurRad="63500" sx="102000" sy="102000" algn="ctr"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ln w="6350">
                      <a:solidFill>
                        <a:schemeClr val="accent1">
                          <a:lumMod val="50000"/>
                        </a:schemeClr>
                      </a:solidFill>
                    </a:ln>
                    <a:solidFill>
                      <a:schemeClr val="bg1"/>
                    </a:solidFill>
                    <a:latin typeface="+mn-lt"/>
                    <a:ea typeface="+mn-ea"/>
                    <a:cs typeface="+mn-cs"/>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[0]!SA.estlabel</c:f>
              <c:numCache>
                <c:formatCode>#,##0</c:formatCode>
                <c:ptCount val="5"/>
                <c:pt idx="0">
                  <c:v>2</c:v>
                </c:pt>
                <c:pt idx="1">
                  <c:v>4</c:v>
                </c:pt>
                <c:pt idx="2">
                  <c:v>77</c:v>
                </c:pt>
                <c:pt idx="3">
                  <c:v>129</c:v>
                </c:pt>
                <c:pt idx="4">
                  <c:v>212</c:v>
                </c:pt>
              </c:numCache>
            </c:numRef>
          </c:cat>
          <c:val>
            <c:numRef>
              <c:f>[0]!SA.estvalue</c:f>
              <c:numCache>
                <c:formatCode>#,##0</c:formatCode>
                <c:ptCount val="5"/>
                <c:pt idx="0">
                  <c:v>-2</c:v>
                </c:pt>
                <c:pt idx="1">
                  <c:v>-4</c:v>
                </c:pt>
                <c:pt idx="2">
                  <c:v>-77</c:v>
                </c:pt>
                <c:pt idx="3">
                  <c:v>-129</c:v>
                </c:pt>
                <c:pt idx="4">
                  <c:v>-212</c:v>
                </c:pt>
              </c:numCache>
            </c:numRef>
          </c:val>
          <c:extLst/>
        </c:ser>
        <c:dLbls>
          <c:showLegendKey val="0"/>
          <c:showVal val="0"/>
          <c:showCatName val="0"/>
          <c:showSerName val="0"/>
          <c:showPercent val="0"/>
          <c:showBubbleSize val="0"/>
        </c:dLbls>
        <c:gapWidth val="0"/>
        <c:overlap val="10"/>
        <c:axId val="258892584"/>
        <c:axId val="258892976"/>
      </c:barChart>
      <c:catAx>
        <c:axId val="258892584"/>
        <c:scaling>
          <c:orientation val="minMax"/>
        </c:scaling>
        <c:delete val="1"/>
        <c:axPos val="l"/>
        <c:numFmt formatCode="#,##0" sourceLinked="1"/>
        <c:majorTickMark val="out"/>
        <c:minorTickMark val="none"/>
        <c:tickLblPos val="nextTo"/>
        <c:crossAx val="258892976"/>
        <c:crosses val="autoZero"/>
        <c:auto val="1"/>
        <c:lblAlgn val="ctr"/>
        <c:lblOffset val="100"/>
        <c:noMultiLvlLbl val="0"/>
      </c:catAx>
      <c:valAx>
        <c:axId val="258892976"/>
        <c:scaling>
          <c:orientation val="minMax"/>
        </c:scaling>
        <c:delete val="1"/>
        <c:axPos val="b"/>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crossAx val="258892584"/>
        <c:crosses val="autoZero"/>
        <c:crossBetween val="between"/>
      </c:valAx>
      <c:spPr>
        <a:solidFill>
          <a:schemeClr val="accent3">
            <a:lumMod val="20000"/>
            <a:lumOff val="80000"/>
          </a:schemeClr>
        </a:solid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795363873763932"/>
          <c:y val="0.16432567994119426"/>
          <c:w val="0.56652983947287749"/>
          <c:h val="0.7820534440264626"/>
        </c:manualLayout>
      </c:layout>
      <c:barChart>
        <c:barDir val="bar"/>
        <c:grouping val="clustered"/>
        <c:varyColors val="0"/>
        <c:ser>
          <c:idx val="0"/>
          <c:order val="0"/>
          <c:tx>
            <c:v>Bed Spaces</c:v>
          </c:tx>
          <c:spPr>
            <a:solidFill>
              <a:schemeClr val="bg1">
                <a:lumMod val="50000"/>
              </a:schemeClr>
            </a:solidFill>
            <a:ln w="38100">
              <a:solidFill>
                <a:schemeClr val="bg1"/>
              </a:solidFill>
            </a:ln>
            <a:effectLst>
              <a:outerShdw blurRad="63500" sx="102000" sy="102000" algn="ctr" rotWithShape="0">
                <a:prstClr val="black">
                  <a:alpha val="40000"/>
                </a:prstClr>
              </a:outerShdw>
            </a:effectLst>
          </c:spPr>
          <c:invertIfNegative val="0"/>
          <c:dPt>
            <c:idx val="5"/>
            <c:invertIfNegative val="0"/>
            <c:bubble3D val="0"/>
          </c:dPt>
          <c:dLbls>
            <c:spPr>
              <a:solidFill>
                <a:schemeClr val="accent3">
                  <a:lumMod val="20000"/>
                  <a:lumOff val="80000"/>
                  <a:alpha val="75000"/>
                </a:schemeClr>
              </a:solidFill>
              <a:ln>
                <a:noFill/>
              </a:ln>
              <a:effectLst>
                <a:outerShdw blurRad="63500" sx="102000" sy="102000" algn="ctr" rotWithShape="0">
                  <a:prstClr val="black">
                    <a:alpha val="40000"/>
                  </a:prstClr>
                </a:outerShdw>
              </a:effectLst>
            </c:spPr>
            <c:txPr>
              <a:bodyPr rot="0" spcFirstLastPara="1" vertOverflow="ellipsis" vert="horz" wrap="square" lIns="38100" tIns="19050" rIns="38100" bIns="19050" anchor="ctr" anchorCtr="0">
                <a:spAutoFit/>
              </a:bodyPr>
              <a:lstStyle/>
              <a:p>
                <a:pPr algn="ctr">
                  <a:defRPr lang="en-GB" sz="1400" b="1" i="0" u="none" strike="noStrike" kern="1200" baseline="0">
                    <a:ln w="6350">
                      <a:solidFill>
                        <a:schemeClr val="accent1">
                          <a:lumMod val="50000"/>
                        </a:schemeClr>
                      </a:solidFill>
                    </a:ln>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[0]!SA.BEDLABEL</c:f>
              <c:strCache>
                <c:ptCount val="5"/>
                <c:pt idx="0">
                  <c:v>+50 Room</c:v>
                </c:pt>
                <c:pt idx="1">
                  <c:v>26-50 Room</c:v>
                </c:pt>
                <c:pt idx="2">
                  <c:v>&lt;26 Room</c:v>
                </c:pt>
                <c:pt idx="3">
                  <c:v>Guest Houses/B&amp;Bs</c:v>
                </c:pt>
                <c:pt idx="4">
                  <c:v>Serviced Total</c:v>
                </c:pt>
              </c:strCache>
            </c:strRef>
          </c:cat>
          <c:val>
            <c:numRef>
              <c:f>[0]!SA.bedvalue</c:f>
              <c:numCache>
                <c:formatCode>#,##0</c:formatCode>
                <c:ptCount val="5"/>
                <c:pt idx="0">
                  <c:v>219</c:v>
                </c:pt>
                <c:pt idx="1">
                  <c:v>275</c:v>
                </c:pt>
                <c:pt idx="2">
                  <c:v>1203</c:v>
                </c:pt>
                <c:pt idx="3">
                  <c:v>953</c:v>
                </c:pt>
                <c:pt idx="4">
                  <c:v>2650</c:v>
                </c:pt>
              </c:numCache>
            </c:numRef>
          </c:val>
          <c:extLst/>
        </c:ser>
        <c:dLbls>
          <c:showLegendKey val="0"/>
          <c:showVal val="0"/>
          <c:showCatName val="0"/>
          <c:showSerName val="0"/>
          <c:showPercent val="0"/>
          <c:showBubbleSize val="0"/>
        </c:dLbls>
        <c:gapWidth val="0"/>
        <c:overlap val="10"/>
        <c:axId val="258893760"/>
        <c:axId val="258894152"/>
      </c:barChart>
      <c:catAx>
        <c:axId val="258893760"/>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800" b="1" i="0" u="none" strike="noStrike" kern="1200" baseline="0">
                <a:solidFill>
                  <a:schemeClr val="tx1">
                    <a:lumMod val="65000"/>
                    <a:lumOff val="35000"/>
                  </a:schemeClr>
                </a:solidFill>
                <a:latin typeface="+mn-lt"/>
                <a:ea typeface="+mn-ea"/>
                <a:cs typeface="+mn-cs"/>
              </a:defRPr>
            </a:pPr>
            <a:endParaRPr lang="en-US"/>
          </a:p>
        </c:txPr>
        <c:crossAx val="258894152"/>
        <c:crosses val="autoZero"/>
        <c:auto val="1"/>
        <c:lblAlgn val="ctr"/>
        <c:lblOffset val="100"/>
        <c:noMultiLvlLbl val="0"/>
      </c:catAx>
      <c:valAx>
        <c:axId val="258894152"/>
        <c:scaling>
          <c:orientation val="minMax"/>
        </c:scaling>
        <c:delete val="1"/>
        <c:axPos val="b"/>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crossAx val="258893760"/>
        <c:crosses val="autoZero"/>
        <c:crossBetween val="between"/>
      </c:valAx>
      <c:spPr>
        <a:solidFill>
          <a:schemeClr val="accent3">
            <a:lumMod val="20000"/>
            <a:lumOff val="80000"/>
          </a:schemeClr>
        </a:solid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mn-lt"/>
                <a:ea typeface="+mn-ea"/>
                <a:cs typeface="+mn-cs"/>
              </a:defRPr>
            </a:pPr>
            <a:r>
              <a:rPr lang="en-US" sz="1400" b="1" i="0" u="none" strike="noStrike" kern="1200" spc="0" baseline="0">
                <a:solidFill>
                  <a:sysClr val="windowText" lastClr="000000">
                    <a:lumMod val="65000"/>
                    <a:lumOff val="35000"/>
                  </a:sysClr>
                </a:solidFill>
                <a:latin typeface="+mn-lt"/>
                <a:ea typeface="+mn-ea"/>
                <a:cs typeface="+mn-cs"/>
              </a:rPr>
              <a:t>Bed Spaces by Month</a:t>
            </a:r>
          </a:p>
        </c:rich>
      </c:tx>
      <c:layout/>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2.7210884353741496E-2"/>
          <c:y val="0.18282197016742013"/>
          <c:w val="0.94557823129251706"/>
          <c:h val="0.6236761171692583"/>
        </c:manualLayout>
      </c:layout>
      <c:barChart>
        <c:barDir val="col"/>
        <c:grouping val="clustered"/>
        <c:varyColors val="0"/>
        <c:ser>
          <c:idx val="0"/>
          <c:order val="0"/>
          <c:tx>
            <c:strRef>
              <c:f>'ACCOMMODATION SUPPLY'!$E$35</c:f>
              <c:strCache>
                <c:ptCount val="1"/>
                <c:pt idx="0">
                  <c:v>2013.Accommodation.Serviced Accommodation</c:v>
                </c:pt>
              </c:strCache>
            </c:strRef>
          </c:tx>
          <c:spPr>
            <a:solidFill>
              <a:schemeClr val="tx1">
                <a:lumMod val="65000"/>
                <a:lumOff val="35000"/>
              </a:schemeClr>
            </a:solidFill>
            <a:ln w="38100">
              <a:solidFill>
                <a:schemeClr val="bg1"/>
              </a:solidFill>
            </a:ln>
            <a:effectLst>
              <a:outerShdw blurRad="63500" sx="102000" sy="102000" algn="ctr" rotWithShape="0">
                <a:prstClr val="black">
                  <a:alpha val="40000"/>
                </a:prstClr>
              </a:outerShdw>
            </a:effectLst>
          </c:spPr>
          <c:invertIfNegative val="0"/>
          <c:dLbls>
            <c:spPr>
              <a:solidFill>
                <a:schemeClr val="accent3">
                  <a:lumMod val="20000"/>
                  <a:lumOff val="80000"/>
                  <a:alpha val="25000"/>
                </a:schemeClr>
              </a:solidFill>
              <a:ln>
                <a:noFill/>
              </a:ln>
              <a:effectLst>
                <a:outerShdw blurRad="63500" sx="102000" sy="102000" algn="ctr" rotWithShape="0">
                  <a:prstClr val="black">
                    <a:alpha val="40000"/>
                  </a:prstClr>
                </a:outerShdw>
              </a:effectLst>
            </c:spPr>
            <c:txPr>
              <a:bodyPr rot="-5400000" spcFirstLastPara="1" vertOverflow="ellipsis" wrap="square" lIns="38100" tIns="19050" rIns="38100" bIns="19050" anchor="ctr" anchorCtr="0">
                <a:spAutoFit/>
              </a:bodyPr>
              <a:lstStyle/>
              <a:p>
                <a:pPr algn="ctr">
                  <a:defRPr lang="en-GB" sz="1400" b="1" i="0" u="none" strike="noStrike" kern="1200" baseline="0">
                    <a:ln w="6350">
                      <a:solidFill>
                        <a:schemeClr val="accent1">
                          <a:lumMod val="50000"/>
                        </a:schemeClr>
                      </a:solid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'ACCOMMODATION SUPPLY'!$F$34:$Q$34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'ACCOMMODATION SUPPLY'!$F$35:$Q$35</c:f>
              <c:numCache>
                <c:formatCode>#,##0</c:formatCode>
                <c:ptCount val="12"/>
                <c:pt idx="0">
                  <c:v>2580.4193548387098</c:v>
                </c:pt>
                <c:pt idx="1">
                  <c:v>2598</c:v>
                </c:pt>
                <c:pt idx="2">
                  <c:v>2611</c:v>
                </c:pt>
                <c:pt idx="3">
                  <c:v>2633.4193548387098</c:v>
                </c:pt>
                <c:pt idx="4">
                  <c:v>2647</c:v>
                </c:pt>
                <c:pt idx="5">
                  <c:v>2650</c:v>
                </c:pt>
                <c:pt idx="6">
                  <c:v>2650</c:v>
                </c:pt>
                <c:pt idx="7">
                  <c:v>2650</c:v>
                </c:pt>
                <c:pt idx="8">
                  <c:v>2647</c:v>
                </c:pt>
                <c:pt idx="9">
                  <c:v>2636</c:v>
                </c:pt>
                <c:pt idx="10">
                  <c:v>2603</c:v>
                </c:pt>
                <c:pt idx="11">
                  <c:v>2569.6774193548385</c:v>
                </c:pt>
              </c:numCache>
            </c:numRef>
          </c:val>
        </c:ser>
        <c:dLbls>
          <c:showLegendKey val="0"/>
          <c:showVal val="0"/>
          <c:showCatName val="0"/>
          <c:showSerName val="0"/>
          <c:showPercent val="0"/>
          <c:showBubbleSize val="0"/>
        </c:dLbls>
        <c:gapWidth val="0"/>
        <c:overlap val="-27"/>
        <c:axId val="259469672"/>
        <c:axId val="259470064"/>
      </c:barChart>
      <c:catAx>
        <c:axId val="259469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259470064"/>
        <c:crosses val="autoZero"/>
        <c:auto val="1"/>
        <c:lblAlgn val="ctr"/>
        <c:lblOffset val="100"/>
        <c:noMultiLvlLbl val="0"/>
      </c:catAx>
      <c:valAx>
        <c:axId val="259470064"/>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59469672"/>
        <c:crosses val="autoZero"/>
        <c:crossBetween val="between"/>
      </c:valAx>
      <c:spPr>
        <a:solidFill>
          <a:schemeClr val="accent3">
            <a:lumMod val="20000"/>
            <a:lumOff val="80000"/>
          </a:schemeClr>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087180700773058"/>
          <c:y val="0.28449953890898771"/>
          <c:w val="0.56759249271923207"/>
          <c:h val="0.65155108162500097"/>
        </c:manualLayout>
      </c:layout>
      <c:radarChart>
        <c:radarStyle val="filled"/>
        <c:varyColors val="0"/>
        <c:ser>
          <c:idx val="0"/>
          <c:order val="0"/>
          <c:tx>
            <c:strRef>
              <c:f>'SECTORAL ANALYSIS'!$S$9</c:f>
              <c:strCache>
                <c:ptCount val="1"/>
                <c:pt idx="0">
                  <c:v>2013</c:v>
                </c:pt>
              </c:strCache>
            </c:strRef>
          </c:tx>
          <c:spPr>
            <a:solidFill>
              <a:schemeClr val="accent1">
                <a:alpha val="55000"/>
              </a:schemeClr>
            </a:solidFill>
            <a:ln w="25400">
              <a:solidFill>
                <a:schemeClr val="tx2">
                  <a:lumMod val="50000"/>
                  <a:alpha val="55000"/>
                </a:schemeClr>
              </a:solidFill>
            </a:ln>
            <a:effectLst/>
          </c:spPr>
          <c:dPt>
            <c:idx val="0"/>
            <c:bubble3D val="0"/>
          </c:dPt>
          <c:dPt>
            <c:idx val="1"/>
            <c:bubble3D val="0"/>
          </c:dPt>
          <c:dPt>
            <c:idx val="2"/>
            <c:bubble3D val="0"/>
          </c:dPt>
          <c:dPt>
            <c:idx val="3"/>
            <c:bubble3D val="0"/>
          </c:dPt>
          <c:dPt>
            <c:idx val="4"/>
            <c:bubble3D val="0"/>
          </c:dPt>
          <c:dPt>
            <c:idx val="5"/>
            <c:bubble3D val="0"/>
          </c:dPt>
          <c:dPt>
            <c:idx val="6"/>
            <c:bubble3D val="0"/>
          </c:dPt>
          <c:dLbls>
            <c:dLbl>
              <c:idx val="0"/>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1"/>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2"/>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6">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4"/>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4">
                          <a:lumMod val="60000"/>
                          <a:lumOff val="4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5"/>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6"/>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3">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layout/>
                <c15:showLeaderLines val="0"/>
              </c:ext>
            </c:extLst>
          </c:dLbls>
          <c:cat>
            <c:strRef>
              <c:f>('SECTORAL ANALYSIS'!$E$10:$E$14,'SECTORAL ANALYSIS'!$E$16,'SECTORAL ANALYSIS'!$E$18)</c:f>
              <c:strCache>
                <c:ptCount val="7"/>
                <c:pt idx="0">
                  <c:v>Accommodation</c:v>
                </c:pt>
                <c:pt idx="1">
                  <c:v>Food &amp; Drink</c:v>
                </c:pt>
                <c:pt idx="2">
                  <c:v>Recreation</c:v>
                </c:pt>
                <c:pt idx="3">
                  <c:v>Shopping</c:v>
                </c:pt>
                <c:pt idx="4">
                  <c:v>Transport</c:v>
                </c:pt>
                <c:pt idx="5">
                  <c:v>VAT</c:v>
                </c:pt>
                <c:pt idx="6">
                  <c:v>Indirect Expenditure</c:v>
                </c:pt>
              </c:strCache>
            </c:strRef>
          </c:cat>
          <c:val>
            <c:numRef>
              <c:f>('SECTORAL ANALYSIS'!$S$10:$S$14,'SECTORAL ANALYSIS'!$S$16,'SECTORAL ANALYSIS'!$S$18)</c:f>
              <c:numCache>
                <c:formatCode>#,##0.0,</c:formatCode>
                <c:ptCount val="7"/>
                <c:pt idx="0">
                  <c:v>16.172241697548447</c:v>
                </c:pt>
                <c:pt idx="1">
                  <c:v>13.8825549202842</c:v>
                </c:pt>
                <c:pt idx="2">
                  <c:v>6.1334760580506273</c:v>
                </c:pt>
                <c:pt idx="3">
                  <c:v>8.0478093607509109</c:v>
                </c:pt>
                <c:pt idx="4">
                  <c:v>15.887009599502141</c:v>
                </c:pt>
                <c:pt idx="5">
                  <c:v>12.024618327227268</c:v>
                </c:pt>
                <c:pt idx="6">
                  <c:v>22.480181577483162</c:v>
                </c:pt>
              </c:numCache>
            </c:numRef>
          </c:val>
        </c:ser>
        <c:dLbls>
          <c:showLegendKey val="0"/>
          <c:showVal val="0"/>
          <c:showCatName val="0"/>
          <c:showSerName val="0"/>
          <c:showPercent val="0"/>
          <c:showBubbleSize val="0"/>
        </c:dLbls>
        <c:axId val="259471240"/>
        <c:axId val="259471632"/>
      </c:radarChart>
      <c:catAx>
        <c:axId val="259471240"/>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out"/>
        <c:minorTickMark val="none"/>
        <c:tickLblPos val="none"/>
        <c:spPr>
          <a:noFill/>
          <a:ln w="3175" cap="flat" cmpd="sng" algn="ctr">
            <a:solidFill>
              <a:schemeClr val="accent1">
                <a:lumMod val="60000"/>
                <a:lumOff val="40000"/>
              </a:schemeClr>
            </a:solidFill>
            <a:round/>
          </a:ln>
          <a:effectLst/>
        </c:spPr>
        <c:txPr>
          <a:bodyPr rot="0" spcFirstLastPara="1" vertOverflow="ellipsis" wrap="square" anchor="ctr" anchorCtr="1"/>
          <a:lstStyle/>
          <a:p>
            <a:pPr>
              <a:defRPr sz="800" b="0" i="0" u="none" strike="noStrike" kern="1200" cap="all" spc="150" normalizeH="0" baseline="0">
                <a:solidFill>
                  <a:schemeClr val="lt1"/>
                </a:solidFill>
                <a:latin typeface="+mn-lt"/>
                <a:ea typeface="+mn-ea"/>
                <a:cs typeface="+mn-cs"/>
              </a:defRPr>
            </a:pPr>
            <a:endParaRPr lang="en-US"/>
          </a:p>
        </c:txPr>
        <c:crossAx val="259471632"/>
        <c:crosses val="autoZero"/>
        <c:auto val="1"/>
        <c:lblAlgn val="ctr"/>
        <c:lblOffset val="100"/>
        <c:noMultiLvlLbl val="0"/>
      </c:catAx>
      <c:valAx>
        <c:axId val="259471632"/>
        <c:scaling>
          <c:orientation val="minMax"/>
        </c:scaling>
        <c:delete val="1"/>
        <c:axPos val="l"/>
        <c:majorGridlines>
          <c:spPr>
            <a:ln w="25400" cap="flat" cmpd="sng" algn="ctr">
              <a:solidFill>
                <a:schemeClr val="bg1">
                  <a:lumMod val="65000"/>
                  <a:alpha val="35000"/>
                </a:schemeClr>
              </a:solidFill>
              <a:round/>
            </a:ln>
            <a:effectLst/>
          </c:spPr>
        </c:majorGridlines>
        <c:numFmt formatCode="#,##0.0," sourceLinked="1"/>
        <c:majorTickMark val="out"/>
        <c:minorTickMark val="none"/>
        <c:tickLblPos val="nextTo"/>
        <c:crossAx val="2594712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087180700773058"/>
          <c:y val="0.31603107044051931"/>
          <c:w val="0.56759249271923207"/>
          <c:h val="0.65155108162500097"/>
        </c:manualLayout>
      </c:layout>
      <c:radarChart>
        <c:radarStyle val="filled"/>
        <c:varyColors val="0"/>
        <c:ser>
          <c:idx val="0"/>
          <c:order val="0"/>
          <c:tx>
            <c:strRef>
              <c:f>'SECTORAL ANALYSIS'!$S$24</c:f>
              <c:strCache>
                <c:ptCount val="1"/>
                <c:pt idx="0">
                  <c:v>2013</c:v>
                </c:pt>
              </c:strCache>
            </c:strRef>
          </c:tx>
          <c:spPr>
            <a:solidFill>
              <a:schemeClr val="accent6">
                <a:lumMod val="40000"/>
                <a:lumOff val="60000"/>
                <a:alpha val="65000"/>
              </a:schemeClr>
            </a:solidFill>
            <a:ln w="25400" cmpd="sng">
              <a:solidFill>
                <a:schemeClr val="accent6">
                  <a:lumMod val="50000"/>
                  <a:alpha val="55000"/>
                </a:schemeClr>
              </a:solidFill>
            </a:ln>
            <a:effectLst>
              <a:outerShdw dist="25400" dir="2700000" algn="tl" rotWithShape="0">
                <a:schemeClr val="accent6">
                  <a:lumMod val="20000"/>
                  <a:lumOff val="80000"/>
                </a:schemeClr>
              </a:outerShdw>
            </a:effectLst>
          </c:spPr>
          <c:dPt>
            <c:idx val="0"/>
            <c:bubble3D val="0"/>
          </c:dPt>
          <c:dPt>
            <c:idx val="1"/>
            <c:bubble3D val="0"/>
          </c:dPt>
          <c:dPt>
            <c:idx val="2"/>
            <c:bubble3D val="0"/>
          </c:dPt>
          <c:dPt>
            <c:idx val="3"/>
            <c:bubble3D val="0"/>
          </c:dPt>
          <c:dPt>
            <c:idx val="4"/>
            <c:bubble3D val="0"/>
          </c:dPt>
          <c:dPt>
            <c:idx val="5"/>
            <c:bubble3D val="0"/>
          </c:dPt>
          <c:dPt>
            <c:idx val="6"/>
            <c:bubble3D val="0"/>
          </c:dPt>
          <c:dLbls>
            <c:dLbl>
              <c:idx val="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1"/>
              <c:layout>
                <c:manualLayout>
                  <c:x val="1.8214936247723051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6">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3"/>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4"/>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4">
                          <a:lumMod val="60000"/>
                          <a:lumOff val="4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dLbl>
              <c:idx val="5"/>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3">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('SECTORAL ANALYSIS'!$U$25:$U$29,'SECTORAL ANALYSIS'!$U$31)</c:f>
              <c:strCache>
                <c:ptCount val="6"/>
                <c:pt idx="0">
                  <c:v>Accommodation (51.3%)</c:v>
                </c:pt>
                <c:pt idx="1">
                  <c:v>Food &amp; Drink (11.4%)</c:v>
                </c:pt>
                <c:pt idx="2">
                  <c:v>Recreation (5.0%)</c:v>
                </c:pt>
                <c:pt idx="3">
                  <c:v>Shopping (6.4%)</c:v>
                </c:pt>
                <c:pt idx="4">
                  <c:v>Transport (11.2%)</c:v>
                </c:pt>
                <c:pt idx="5">
                  <c:v>Indirect Employment (14.7%)</c:v>
                </c:pt>
              </c:strCache>
            </c:strRef>
          </c:cat>
          <c:val>
            <c:numRef>
              <c:f>('SECTORAL ANALYSIS'!$S$25:$S$29,'SECTORAL ANALYSIS'!$S$31)</c:f>
              <c:numCache>
                <c:formatCode>#,##0</c:formatCode>
                <c:ptCount val="6"/>
                <c:pt idx="0">
                  <c:v>1374.5173892001558</c:v>
                </c:pt>
                <c:pt idx="1">
                  <c:v>306.4320889514039</c:v>
                </c:pt>
                <c:pt idx="2">
                  <c:v>134.48111237263748</c:v>
                </c:pt>
                <c:pt idx="3">
                  <c:v>171.02527636865571</c:v>
                </c:pt>
                <c:pt idx="4">
                  <c:v>301.08737894449274</c:v>
                </c:pt>
                <c:pt idx="5">
                  <c:v>392.87139643339407</c:v>
                </c:pt>
              </c:numCache>
            </c:numRef>
          </c:val>
        </c:ser>
        <c:dLbls>
          <c:showLegendKey val="0"/>
          <c:showVal val="0"/>
          <c:showCatName val="0"/>
          <c:showSerName val="0"/>
          <c:showPercent val="0"/>
          <c:showBubbleSize val="0"/>
        </c:dLbls>
        <c:axId val="259472416"/>
        <c:axId val="259472808"/>
      </c:radarChart>
      <c:catAx>
        <c:axId val="259472416"/>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out"/>
        <c:minorTickMark val="none"/>
        <c:tickLblPos val="none"/>
        <c:spPr>
          <a:noFill/>
          <a:ln w="3175" cap="flat" cmpd="sng" algn="ctr">
            <a:solidFill>
              <a:schemeClr val="accent1">
                <a:lumMod val="60000"/>
                <a:lumOff val="40000"/>
              </a:schemeClr>
            </a:solidFill>
            <a:round/>
          </a:ln>
          <a:effectLst/>
        </c:spPr>
        <c:txPr>
          <a:bodyPr rot="0" spcFirstLastPara="1" vertOverflow="ellipsis" wrap="square" anchor="ctr" anchorCtr="1"/>
          <a:lstStyle/>
          <a:p>
            <a:pPr>
              <a:defRPr sz="800" b="0" i="0" u="none" strike="noStrike" kern="1200" cap="all" spc="150" normalizeH="0" baseline="0">
                <a:solidFill>
                  <a:schemeClr val="lt1"/>
                </a:solidFill>
                <a:latin typeface="+mn-lt"/>
                <a:ea typeface="+mn-ea"/>
                <a:cs typeface="+mn-cs"/>
              </a:defRPr>
            </a:pPr>
            <a:endParaRPr lang="en-US"/>
          </a:p>
        </c:txPr>
        <c:crossAx val="259472808"/>
        <c:crosses val="autoZero"/>
        <c:auto val="1"/>
        <c:lblAlgn val="ctr"/>
        <c:lblOffset val="100"/>
        <c:noMultiLvlLbl val="0"/>
      </c:catAx>
      <c:valAx>
        <c:axId val="259472808"/>
        <c:scaling>
          <c:orientation val="minMax"/>
        </c:scaling>
        <c:delete val="1"/>
        <c:axPos val="l"/>
        <c:majorGridlines>
          <c:spPr>
            <a:ln w="25400" cap="flat" cmpd="sng" algn="ctr">
              <a:solidFill>
                <a:schemeClr val="bg1">
                  <a:lumMod val="65000"/>
                  <a:alpha val="35000"/>
                </a:schemeClr>
              </a:solidFill>
              <a:round/>
            </a:ln>
            <a:effectLst/>
          </c:spPr>
        </c:majorGridlines>
        <c:numFmt formatCode="#,##0" sourceLinked="1"/>
        <c:majorTickMark val="out"/>
        <c:minorTickMark val="none"/>
        <c:tickLblPos val="nextTo"/>
        <c:crossAx val="2594724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HEADLINES'!$L$13</c:f>
              <c:numCache>
                <c:formatCode>0.0%</c:formatCode>
                <c:ptCount val="1"/>
                <c:pt idx="0">
                  <c:v>3.779403669974446E-2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HEADLINES'!$L$14</c:f>
              <c:numCache>
                <c:formatCode>0.0%</c:formatCode>
                <c:ptCount val="1"/>
                <c:pt idx="0">
                  <c:v>1.2139996748708581E-2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HEADLINES'!$L$16</c:f>
              <c:numCache>
                <c:formatCode>0.0%</c:formatCode>
                <c:ptCount val="1"/>
                <c:pt idx="0">
                  <c:v>4.2596324080641512E-2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HEADLINES'!$L$17</c:f>
              <c:numCache>
                <c:formatCode>0.0%</c:formatCode>
                <c:ptCount val="1"/>
                <c:pt idx="0">
                  <c:v>3.9781303746482255E-3</c:v>
                </c:pt>
              </c:numCache>
            </c:numRef>
          </c:val>
        </c:ser>
        <c:dLbls>
          <c:dLblPos val="outEnd"/>
          <c:showLegendKey val="0"/>
          <c:showVal val="1"/>
          <c:showCatName val="0"/>
          <c:showSerName val="0"/>
          <c:showPercent val="0"/>
          <c:showBubbleSize val="0"/>
        </c:dLbls>
        <c:gapWidth val="0"/>
        <c:overlap val="10"/>
        <c:axId val="254890360"/>
        <c:axId val="255000648"/>
      </c:barChart>
      <c:catAx>
        <c:axId val="254890360"/>
        <c:scaling>
          <c:orientation val="minMax"/>
        </c:scaling>
        <c:delete val="1"/>
        <c:axPos val="b"/>
        <c:majorTickMark val="none"/>
        <c:minorTickMark val="none"/>
        <c:tickLblPos val="nextTo"/>
        <c:crossAx val="255000648"/>
        <c:crosses val="autoZero"/>
        <c:auto val="1"/>
        <c:lblAlgn val="ctr"/>
        <c:lblOffset val="100"/>
        <c:noMultiLvlLbl val="0"/>
      </c:catAx>
      <c:valAx>
        <c:axId val="255000648"/>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54890360"/>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HEADLINES'!$O$13</c:f>
              <c:numCache>
                <c:formatCode>0.0%</c:formatCode>
                <c:ptCount val="1"/>
                <c:pt idx="0">
                  <c:v>6.9119151751061425E-2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HEADLINES'!$O$14</c:f>
              <c:numCache>
                <c:formatCode>0.0%</c:formatCode>
                <c:ptCount val="1"/>
                <c:pt idx="0">
                  <c:v>6.9285594239674619E-2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HEADLINES'!$O$16</c:f>
              <c:numCache>
                <c:formatCode>0.0%</c:formatCode>
                <c:ptCount val="1"/>
                <c:pt idx="0">
                  <c:v>0.10724053320868387</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HEADLINES'!$O$17</c:f>
              <c:numCache>
                <c:formatCode>0.0%</c:formatCode>
                <c:ptCount val="1"/>
                <c:pt idx="0">
                  <c:v>7.2110843037507033E-2</c:v>
                </c:pt>
              </c:numCache>
            </c:numRef>
          </c:val>
        </c:ser>
        <c:dLbls>
          <c:dLblPos val="outEnd"/>
          <c:showLegendKey val="0"/>
          <c:showVal val="1"/>
          <c:showCatName val="0"/>
          <c:showSerName val="0"/>
          <c:showPercent val="0"/>
          <c:showBubbleSize val="0"/>
        </c:dLbls>
        <c:gapWidth val="0"/>
        <c:overlap val="10"/>
        <c:axId val="255111664"/>
        <c:axId val="255077784"/>
      </c:barChart>
      <c:catAx>
        <c:axId val="255111664"/>
        <c:scaling>
          <c:orientation val="minMax"/>
        </c:scaling>
        <c:delete val="1"/>
        <c:axPos val="b"/>
        <c:majorTickMark val="none"/>
        <c:minorTickMark val="none"/>
        <c:tickLblPos val="nextTo"/>
        <c:crossAx val="255077784"/>
        <c:crosses val="autoZero"/>
        <c:auto val="1"/>
        <c:lblAlgn val="ctr"/>
        <c:lblOffset val="100"/>
        <c:noMultiLvlLbl val="0"/>
      </c:catAx>
      <c:valAx>
        <c:axId val="255077784"/>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55111664"/>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HEADLINES'!$R$13</c:f>
              <c:numCache>
                <c:formatCode>0.0%</c:formatCode>
                <c:ptCount val="1"/>
                <c:pt idx="0">
                  <c:v>5.6142073142049442E-2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HEADLINES'!$R$14</c:f>
              <c:numCache>
                <c:formatCode>0.0%</c:formatCode>
                <c:ptCount val="1"/>
                <c:pt idx="0">
                  <c:v>6.6336307857056687E-2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HEADLINES'!$R$16</c:f>
              <c:numCache>
                <c:formatCode>0.0%</c:formatCode>
                <c:ptCount val="1"/>
                <c:pt idx="0">
                  <c:v>7.4509237570835385E-2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HEADLINES'!$R$17</c:f>
              <c:numCache>
                <c:formatCode>0.0%</c:formatCode>
                <c:ptCount val="1"/>
                <c:pt idx="0">
                  <c:v>2.6251706728064539E-2</c:v>
                </c:pt>
              </c:numCache>
            </c:numRef>
          </c:val>
        </c:ser>
        <c:dLbls>
          <c:dLblPos val="outEnd"/>
          <c:showLegendKey val="0"/>
          <c:showVal val="1"/>
          <c:showCatName val="0"/>
          <c:showSerName val="0"/>
          <c:showPercent val="0"/>
          <c:showBubbleSize val="0"/>
        </c:dLbls>
        <c:gapWidth val="0"/>
        <c:overlap val="10"/>
        <c:axId val="255245288"/>
        <c:axId val="255245680"/>
      </c:barChart>
      <c:catAx>
        <c:axId val="255245288"/>
        <c:scaling>
          <c:orientation val="minMax"/>
        </c:scaling>
        <c:delete val="1"/>
        <c:axPos val="b"/>
        <c:majorTickMark val="none"/>
        <c:minorTickMark val="none"/>
        <c:tickLblPos val="nextTo"/>
        <c:crossAx val="255245680"/>
        <c:crosses val="autoZero"/>
        <c:auto val="1"/>
        <c:lblAlgn val="ctr"/>
        <c:lblOffset val="100"/>
        <c:noMultiLvlLbl val="0"/>
      </c:catAx>
      <c:valAx>
        <c:axId val="255245680"/>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55245288"/>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HEADLINES'!$U$13</c:f>
              <c:numCache>
                <c:formatCode>0.0%</c:formatCode>
                <c:ptCount val="1"/>
                <c:pt idx="0">
                  <c:v>0.1219667811073315</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HEADLINES'!$U$14</c:f>
              <c:numCache>
                <c:formatCode>0.0%</c:formatCode>
                <c:ptCount val="1"/>
                <c:pt idx="0">
                  <c:v>0.1219667811073315</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HEADLINES'!$U$16</c:f>
              <c:numCache>
                <c:formatCode>0.0%</c:formatCode>
                <c:ptCount val="1"/>
                <c:pt idx="0">
                  <c:v>0.15842094216849478</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HEADLINES'!$U$17</c:f>
              <c:numCache>
                <c:formatCode>0.0%</c:formatCode>
                <c:ptCount val="1"/>
                <c:pt idx="0">
                  <c:v>0.12139296142961209</c:v>
                </c:pt>
              </c:numCache>
            </c:numRef>
          </c:val>
        </c:ser>
        <c:dLbls>
          <c:dLblPos val="outEnd"/>
          <c:showLegendKey val="0"/>
          <c:showVal val="1"/>
          <c:showCatName val="0"/>
          <c:showSerName val="0"/>
          <c:showPercent val="0"/>
          <c:showBubbleSize val="0"/>
        </c:dLbls>
        <c:gapWidth val="0"/>
        <c:overlap val="10"/>
        <c:axId val="255246464"/>
        <c:axId val="255246856"/>
      </c:barChart>
      <c:catAx>
        <c:axId val="255246464"/>
        <c:scaling>
          <c:orientation val="minMax"/>
        </c:scaling>
        <c:delete val="1"/>
        <c:axPos val="b"/>
        <c:majorTickMark val="none"/>
        <c:minorTickMark val="none"/>
        <c:tickLblPos val="nextTo"/>
        <c:crossAx val="255246856"/>
        <c:crosses val="autoZero"/>
        <c:auto val="1"/>
        <c:lblAlgn val="ctr"/>
        <c:lblOffset val="100"/>
        <c:noMultiLvlLbl val="0"/>
      </c:catAx>
      <c:valAx>
        <c:axId val="255246856"/>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55246464"/>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HEADLINES'!$X$13</c:f>
              <c:numCache>
                <c:formatCode>0.0%</c:formatCode>
                <c:ptCount val="1"/>
                <c:pt idx="0">
                  <c:v>6.6487452973744032E-2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HEADLINES'!$X$14</c:f>
              <c:numCache>
                <c:formatCode>0.0%</c:formatCode>
                <c:ptCount val="1"/>
                <c:pt idx="0">
                  <c:v>8.8610223765478002E-2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HEADLINES'!$X$16</c:f>
              <c:numCache>
                <c:formatCode>0.0%</c:formatCode>
                <c:ptCount val="1"/>
                <c:pt idx="0">
                  <c:v>8.6281658541214723E-2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HEADLINES'!$X$17</c:f>
              <c:numCache>
                <c:formatCode>0.0%</c:formatCode>
                <c:ptCount val="1"/>
                <c:pt idx="0">
                  <c:v>3.3395825732724482E-2</c:v>
                </c:pt>
              </c:numCache>
            </c:numRef>
          </c:val>
        </c:ser>
        <c:dLbls>
          <c:dLblPos val="outEnd"/>
          <c:showLegendKey val="0"/>
          <c:showVal val="1"/>
          <c:showCatName val="0"/>
          <c:showSerName val="0"/>
          <c:showPercent val="0"/>
          <c:showBubbleSize val="0"/>
        </c:dLbls>
        <c:gapWidth val="0"/>
        <c:overlap val="10"/>
        <c:axId val="255247640"/>
        <c:axId val="255248032"/>
      </c:barChart>
      <c:catAx>
        <c:axId val="255247640"/>
        <c:scaling>
          <c:orientation val="minMax"/>
        </c:scaling>
        <c:delete val="1"/>
        <c:axPos val="b"/>
        <c:majorTickMark val="none"/>
        <c:minorTickMark val="none"/>
        <c:tickLblPos val="nextTo"/>
        <c:crossAx val="255248032"/>
        <c:crosses val="autoZero"/>
        <c:auto val="1"/>
        <c:lblAlgn val="ctr"/>
        <c:lblOffset val="100"/>
        <c:noMultiLvlLbl val="0"/>
      </c:catAx>
      <c:valAx>
        <c:axId val="255248032"/>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55247640"/>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81273408239701"/>
          <c:y val="0"/>
          <c:w val="0.85018726591760296"/>
          <c:h val="0.6863162393162392"/>
        </c:manualLayout>
      </c:layout>
      <c:barChart>
        <c:barDir val="col"/>
        <c:grouping val="clustered"/>
        <c:varyColors val="0"/>
        <c:ser>
          <c:idx val="4"/>
          <c:order val="0"/>
          <c:tx>
            <c:v>Economic Impact</c:v>
          </c:tx>
          <c:spPr>
            <a:solidFill>
              <a:schemeClr val="accent1"/>
            </a:solidFill>
            <a:ln w="3175">
              <a:solidFill>
                <a:schemeClr val="tx1">
                  <a:lumMod val="65000"/>
                  <a:lumOff val="35000"/>
                </a:schemeClr>
              </a:solidFill>
            </a:ln>
            <a:effectLst/>
          </c:spPr>
          <c:invertIfNegative val="0"/>
          <c:dLbls>
            <c:spPr>
              <a:noFill/>
              <a:ln>
                <a:noFill/>
              </a:ln>
              <a:effectLst/>
            </c:spPr>
            <c:txPr>
              <a:bodyPr rot="-5400000" spcFirstLastPara="1" vertOverflow="ellipsis" vert="horz" wrap="square" lIns="0" tIns="0" rIns="0" bIns="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chemeClr val="accent5"/>
                </a:solidFill>
                <a:prstDash val="sysDash"/>
              </a:ln>
              <a:effectLst>
                <a:softEdge rad="0"/>
              </a:effectLst>
            </c:spPr>
            <c:trendlineType val="exp"/>
            <c:dispRSqr val="0"/>
            <c:dispEq val="0"/>
          </c:trendline>
          <c:cat>
            <c:numRef>
              <c:f>[0]!EIYEARS</c:f>
              <c:numCache>
                <c:formatCode>0</c:formatCode>
                <c:ptCount val="5"/>
                <c:pt idx="0">
                  <c:v>2009</c:v>
                </c:pt>
                <c:pt idx="1">
                  <c:v>2010</c:v>
                </c:pt>
                <c:pt idx="2">
                  <c:v>2011</c:v>
                </c:pt>
                <c:pt idx="3">
                  <c:v>2012</c:v>
                </c:pt>
                <c:pt idx="4">
                  <c:v>2013</c:v>
                </c:pt>
              </c:numCache>
            </c:numRef>
          </c:cat>
          <c:val>
            <c:numRef>
              <c:f>[0]!EIVISTYPETOTAL</c:f>
              <c:numCache>
                <c:formatCode>#,##0.00</c:formatCode>
                <c:ptCount val="5"/>
                <c:pt idx="0">
                  <c:v>80.142004810397211</c:v>
                </c:pt>
                <c:pt idx="1">
                  <c:v>84.54841228829541</c:v>
                </c:pt>
                <c:pt idx="2">
                  <c:v>84.283986454422703</c:v>
                </c:pt>
                <c:pt idx="3">
                  <c:v>87.111745647923485</c:v>
                </c:pt>
                <c:pt idx="4">
                  <c:v>94.627891540846761</c:v>
                </c:pt>
              </c:numCache>
            </c:numRef>
          </c:val>
        </c:ser>
        <c:dLbls>
          <c:dLblPos val="inBase"/>
          <c:showLegendKey val="0"/>
          <c:showVal val="1"/>
          <c:showCatName val="0"/>
          <c:showSerName val="0"/>
          <c:showPercent val="0"/>
          <c:showBubbleSize val="0"/>
        </c:dLbls>
        <c:gapWidth val="75"/>
        <c:axId val="255668168"/>
        <c:axId val="255248816"/>
      </c:barChart>
      <c:valAx>
        <c:axId val="255248816"/>
        <c:scaling>
          <c:orientation val="minMax"/>
        </c:scaling>
        <c:delete val="1"/>
        <c:axPos val="r"/>
        <c:numFmt formatCode="#,##0.00" sourceLinked="1"/>
        <c:majorTickMark val="out"/>
        <c:minorTickMark val="none"/>
        <c:tickLblPos val="nextTo"/>
        <c:crossAx val="255668168"/>
        <c:crosses val="max"/>
        <c:crossBetween val="between"/>
      </c:valAx>
      <c:catAx>
        <c:axId val="255668168"/>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55248816"/>
        <c:crosses val="autoZero"/>
        <c:auto val="1"/>
        <c:lblAlgn val="ctr"/>
        <c:lblOffset val="100"/>
        <c:noMultiLvlLbl val="0"/>
      </c:catAx>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ln>
          <a:noFill/>
        </a:ln>
        <a:effectLst/>
      </c:spPr>
    </c:plotArea>
    <c:legend>
      <c:legendPos val="b"/>
      <c:layout>
        <c:manualLayout>
          <c:xMode val="edge"/>
          <c:yMode val="edge"/>
          <c:x val="5.0775884867046038E-3"/>
          <c:y val="0.90841282051282046"/>
          <c:w val="0.99492241151329541"/>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0">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styleClr val="0"/>
    </cs:lnRef>
    <cs:fillRef idx="0"/>
    <cs:effectRef idx="0"/>
    <cs:fontRef idx="minor">
      <cs:styleClr val="0"/>
    </cs:fontRef>
    <cs:defRPr sz="900" b="1" kern="1200"/>
  </cs:dataLabel>
  <cs:dataLabelCallout>
    <cs:lnRef idx="0">
      <cs:styleClr val="0"/>
    </cs:lnRef>
    <cs:fillRef idx="0"/>
    <cs:effectRef idx="0"/>
    <cs:fontRef idx="minor">
      <cs:styleClr val="0"/>
    </cs:fontRef>
    <cs:spPr>
      <a:solidFill>
        <a:schemeClr val="lt1"/>
      </a:solidFill>
      <a:ln>
        <a:solidFill>
          <a:schemeClr val="phClr"/>
        </a:solidFill>
      </a:ln>
    </cs:spPr>
    <cs:defRPr sz="900" b="1" kern="1200"/>
    <cs:bodyPr rot="0" spcFirstLastPara="1" vertOverflow="clip" horzOverflow="clip" vert="horz" wrap="square" lIns="36576" tIns="18288" rIns="36576" bIns="18288" anchor="ctr" anchorCtr="1">
      <a:spAutoFit/>
    </cs:bodyPr>
  </cs:dataLabelCallout>
  <cs:dataPoint>
    <cs:lnRef idx="0">
      <cs:styleClr val="0"/>
    </cs:lnRef>
    <cs:fillRef idx="0"/>
    <cs:effectRef idx="0"/>
    <cs:fontRef idx="minor">
      <a:schemeClr val="dk1"/>
    </cs:fontRef>
    <cs:spPr>
      <a:solidFill>
        <a:schemeClr val="lt1"/>
      </a:solidFill>
      <a:ln w="19050">
        <a:solidFill>
          <a:schemeClr val="phClr"/>
        </a:solidFill>
      </a:ln>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60">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styleClr val="0"/>
    </cs:lnRef>
    <cs:fillRef idx="0"/>
    <cs:effectRef idx="0"/>
    <cs:fontRef idx="minor">
      <cs:styleClr val="0"/>
    </cs:fontRef>
    <cs:defRPr sz="900" b="1" kern="1200"/>
  </cs:dataLabel>
  <cs:dataLabelCallout>
    <cs:lnRef idx="0">
      <cs:styleClr val="0"/>
    </cs:lnRef>
    <cs:fillRef idx="0"/>
    <cs:effectRef idx="0"/>
    <cs:fontRef idx="minor">
      <cs:styleClr val="0"/>
    </cs:fontRef>
    <cs:spPr>
      <a:solidFill>
        <a:schemeClr val="lt1"/>
      </a:solidFill>
      <a:ln>
        <a:solidFill>
          <a:schemeClr val="phClr"/>
        </a:solidFill>
      </a:ln>
    </cs:spPr>
    <cs:defRPr sz="900" b="1" kern="1200"/>
    <cs:bodyPr rot="0" spcFirstLastPara="1" vertOverflow="clip" horzOverflow="clip" vert="horz" wrap="square" lIns="36576" tIns="18288" rIns="36576" bIns="18288" anchor="ctr" anchorCtr="1">
      <a:spAutoFit/>
    </cs:bodyPr>
  </cs:dataLabelCallout>
  <cs:dataPoint>
    <cs:lnRef idx="0">
      <cs:styleClr val="0"/>
    </cs:lnRef>
    <cs:fillRef idx="0"/>
    <cs:effectRef idx="0"/>
    <cs:fontRef idx="minor">
      <a:schemeClr val="dk1"/>
    </cs:fontRef>
    <cs:spPr>
      <a:solidFill>
        <a:schemeClr val="lt1"/>
      </a:solidFill>
      <a:ln w="19050">
        <a:solidFill>
          <a:schemeClr val="phClr"/>
        </a:solidFill>
      </a:ln>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20" fmlaLink="rep.percenthighlightno" fmlaRange="rep.percenthighlightchoices" noThreeD="1" sel="1" val="0"/>
</file>

<file path=xl/ctrlProps/ctrlProp10.xml><?xml version="1.0" encoding="utf-8"?>
<formControlPr xmlns="http://schemas.microsoft.com/office/spreadsheetml/2009/9/main" objectType="Drop" dropLines="2" dropStyle="combo" dx="20" fmlaLink="INDEX.no" fmlaRange="REP.YN" noThreeD="1" sel="2" val="0"/>
</file>

<file path=xl/ctrlProps/ctrlProp11.xml><?xml version="1.0" encoding="utf-8"?>
<formControlPr xmlns="http://schemas.microsoft.com/office/spreadsheetml/2009/9/main" objectType="Drop" dropStyle="combo" dx="20" fmlaLink="TYPE.no" fmlaRange="TYPE.choices" noThreeD="1" sel="1" val="0"/>
</file>

<file path=xl/ctrlProps/ctrlProp12.xml><?xml version="1.0" encoding="utf-8"?>
<formControlPr xmlns="http://schemas.microsoft.com/office/spreadsheetml/2009/9/main" objectType="Drop" dropStyle="combo" dx="20" fmlaLink="rep.percenthighlightno" fmlaRange="rep.percenthighlightchoices" noThreeD="1" sel="1" val="0"/>
</file>

<file path=xl/ctrlProps/ctrlProp13.xml><?xml version="1.0" encoding="utf-8"?>
<formControlPr xmlns="http://schemas.microsoft.com/office/spreadsheetml/2009/9/main" objectType="Drop" dropLines="2" dropStyle="combo" dx="20" fmlaLink="INDEX.no" fmlaRange="REP.YN" noThreeD="1" sel="2" val="0"/>
</file>

<file path=xl/ctrlProps/ctrlProp14.xml><?xml version="1.0" encoding="utf-8"?>
<formControlPr xmlns="http://schemas.microsoft.com/office/spreadsheetml/2009/9/main" objectType="Drop" dropStyle="combo" dx="20" fmlaLink="CHARTYEAR.no" fmlaRange="FOCUSYEAR.choices" noThreeD="1" sel="5" val="0"/>
</file>

<file path=xl/ctrlProps/ctrlProp15.xml><?xml version="1.0" encoding="utf-8"?>
<formControlPr xmlns="http://schemas.microsoft.com/office/spreadsheetml/2009/9/main" objectType="Drop" dropLines="2" dropStyle="combo" dx="20" fmlaLink="INDEX.no" fmlaRange="REP.YN" noThreeD="1" sel="2" val="0"/>
</file>

<file path=xl/ctrlProps/ctrlProp16.xml><?xml version="1.0" encoding="utf-8"?>
<formControlPr xmlns="http://schemas.microsoft.com/office/spreadsheetml/2009/9/main" objectType="Drop" dropStyle="combo" dx="20" fmlaLink="CHARTYEAR.no" fmlaRange="FOCUSYEAR.choices" noThreeD="1" sel="5" val="0"/>
</file>

<file path=xl/ctrlProps/ctrlProp17.xml><?xml version="1.0" encoding="utf-8"?>
<formControlPr xmlns="http://schemas.microsoft.com/office/spreadsheetml/2009/9/main" objectType="Drop" dropStyle="combo" dx="20" fmlaLink="rep.percenthighlightno" fmlaRange="rep.percenthighlightchoices" noThreeD="1" sel="1" val="0"/>
</file>

<file path=xl/ctrlProps/ctrlProp18.xml><?xml version="1.0" encoding="utf-8"?>
<formControlPr xmlns="http://schemas.microsoft.com/office/spreadsheetml/2009/9/main" objectType="Drop" dropLines="2" dropStyle="combo" dx="20" fmlaLink="INDEX.no" fmlaRange="REP.YN" noThreeD="1" sel="2" val="0"/>
</file>

<file path=xl/ctrlProps/ctrlProp19.xml><?xml version="1.0" encoding="utf-8"?>
<formControlPr xmlns="http://schemas.microsoft.com/office/spreadsheetml/2009/9/main" objectType="Drop" dropStyle="combo" dx="20" fmlaLink="TYPE.no" fmlaRange="TYPE.choices" noThreeD="1" sel="1" val="0"/>
</file>

<file path=xl/ctrlProps/ctrlProp2.xml><?xml version="1.0" encoding="utf-8"?>
<formControlPr xmlns="http://schemas.microsoft.com/office/spreadsheetml/2009/9/main" objectType="Drop" dropStyle="combo" dx="20" fmlaLink="COMPARISONYEAR.no" fmlaRange="CHART.choices" noThreeD="1" sel="4" val="0"/>
</file>

<file path=xl/ctrlProps/ctrlProp20.xml><?xml version="1.0" encoding="utf-8"?>
<formControlPr xmlns="http://schemas.microsoft.com/office/spreadsheetml/2009/9/main" objectType="Drop" dropStyle="combo" dx="20" fmlaLink="rep.percenthighlightno" fmlaRange="rep.percenthighlightchoices" noThreeD="1" sel="1" val="0"/>
</file>

<file path=xl/ctrlProps/ctrlProp21.xml><?xml version="1.0" encoding="utf-8"?>
<formControlPr xmlns="http://schemas.microsoft.com/office/spreadsheetml/2009/9/main" objectType="Drop" dropStyle="combo" dx="20" fmlaLink="TYPE.no" fmlaRange="TYPE.choices" noThreeD="1" sel="1" val="0"/>
</file>

<file path=xl/ctrlProps/ctrlProp22.xml><?xml version="1.0" encoding="utf-8"?>
<formControlPr xmlns="http://schemas.microsoft.com/office/spreadsheetml/2009/9/main" objectType="Drop" dropStyle="combo" dx="20" fmlaLink="rep.percenthighlightno" fmlaRange="rep.percenthighlightchoices" noThreeD="1" sel="1" val="0"/>
</file>

<file path=xl/ctrlProps/ctrlProp23.xml><?xml version="1.0" encoding="utf-8"?>
<formControlPr xmlns="http://schemas.microsoft.com/office/spreadsheetml/2009/9/main" objectType="Drop" dropStyle="combo" dx="20" fmlaLink="TYPE.no" fmlaRange="TYPE.choices" noThreeD="1" sel="1" val="0"/>
</file>

<file path=xl/ctrlProps/ctrlProp24.xml><?xml version="1.0" encoding="utf-8"?>
<formControlPr xmlns="http://schemas.microsoft.com/office/spreadsheetml/2009/9/main" objectType="Drop" dropStyle="combo" dx="20" fmlaLink="rep.percenthighlightno" fmlaRange="rep.percenthighlightchoices" noThreeD="1" sel="1" val="0"/>
</file>

<file path=xl/ctrlProps/ctrlProp25.xml><?xml version="1.0" encoding="utf-8"?>
<formControlPr xmlns="http://schemas.microsoft.com/office/spreadsheetml/2009/9/main" objectType="Drop" dropStyle="combo" dx="20" fmlaLink="TYPE.no" fmlaRange="TYPE.choices" noThreeD="1" sel="1" val="0"/>
</file>

<file path=xl/ctrlProps/ctrlProp26.xml><?xml version="1.0" encoding="utf-8"?>
<formControlPr xmlns="http://schemas.microsoft.com/office/spreadsheetml/2009/9/main" objectType="Drop" dropLines="2" dropStyle="combo" dx="20" fmlaLink="INDEX.no" fmlaRange="REP.YN" noThreeD="1" sel="2" val="0"/>
</file>

<file path=xl/ctrlProps/ctrlProp27.xml><?xml version="1.0" encoding="utf-8"?>
<formControlPr xmlns="http://schemas.microsoft.com/office/spreadsheetml/2009/9/main" objectType="Drop" dropStyle="combo" dx="20" fmlaLink="CHARTYEAR.no" fmlaRange="FOCUSYEAR.choices" noThreeD="1" sel="5" val="0"/>
</file>

<file path=xl/ctrlProps/ctrlProp28.xml><?xml version="1.0" encoding="utf-8"?>
<formControlPr xmlns="http://schemas.microsoft.com/office/spreadsheetml/2009/9/main" objectType="Drop" dropStyle="combo" dx="20" fmlaLink="rep.percenthighlightno" fmlaRange="rep.percenthighlightchoices" noThreeD="1" sel="1" val="0"/>
</file>

<file path=xl/ctrlProps/ctrlProp29.xml><?xml version="1.0" encoding="utf-8"?>
<formControlPr xmlns="http://schemas.microsoft.com/office/spreadsheetml/2009/9/main" objectType="Drop" dropLines="2" dropStyle="combo" dx="20" fmlaLink="INDEX.no" fmlaRange="REP.YN" noThreeD="1" sel="2" val="0"/>
</file>

<file path=xl/ctrlProps/ctrlProp3.xml><?xml version="1.0" encoding="utf-8"?>
<formControlPr xmlns="http://schemas.microsoft.com/office/spreadsheetml/2009/9/main" objectType="Drop" dropLines="2" dropStyle="combo" dx="20" fmlaLink="INDEX.no" fmlaRange="REP.YN" noThreeD="1" sel="2" val="0"/>
</file>

<file path=xl/ctrlProps/ctrlProp30.xml><?xml version="1.0" encoding="utf-8"?>
<formControlPr xmlns="http://schemas.microsoft.com/office/spreadsheetml/2009/9/main" objectType="Drop" dropStyle="combo" dx="20" fmlaLink="CHARTYEAR.no" fmlaRange="FOCUSYEAR.choices" noThreeD="1" sel="5" val="0"/>
</file>

<file path=xl/ctrlProps/ctrlProp4.xml><?xml version="1.0" encoding="utf-8"?>
<formControlPr xmlns="http://schemas.microsoft.com/office/spreadsheetml/2009/9/main" objectType="Drop" dropStyle="combo" dx="20" fmlaLink="FOCUSYEAR.no" fmlaRange="REP.yearsrange" noThreeD="1" sel="5" val="0"/>
</file>

<file path=xl/ctrlProps/ctrlProp5.xml><?xml version="1.0" encoding="utf-8"?>
<formControlPr xmlns="http://schemas.microsoft.com/office/spreadsheetml/2009/9/main" objectType="Drop" dropStyle="combo" dx="20" fmlaLink="TYPE.no" fmlaRange="TYPE.choices" noThreeD="1" sel="1" val="0"/>
</file>

<file path=xl/ctrlProps/ctrlProp6.xml><?xml version="1.0" encoding="utf-8"?>
<formControlPr xmlns="http://schemas.microsoft.com/office/spreadsheetml/2009/9/main" objectType="Drop" dropStyle="combo" dx="20" fmlaLink="rep.percenthighlightno" fmlaRange="rep.percenthighlightchoices" noThreeD="1" sel="1" val="0"/>
</file>

<file path=xl/ctrlProps/ctrlProp7.xml><?xml version="1.0" encoding="utf-8"?>
<formControlPr xmlns="http://schemas.microsoft.com/office/spreadsheetml/2009/9/main" objectType="Drop" dropStyle="combo" dx="20" fmlaLink="COMPARISONYEAR.no" fmlaRange="CHART.choices" noThreeD="1" sel="4" val="0"/>
</file>

<file path=xl/ctrlProps/ctrlProp8.xml><?xml version="1.0" encoding="utf-8"?>
<formControlPr xmlns="http://schemas.microsoft.com/office/spreadsheetml/2009/9/main" objectType="Drop" dropLines="2" dropStyle="combo" dx="20" fmlaLink="INDEX.no" fmlaRange="REP.YN" noThreeD="1" sel="2" val="0"/>
</file>

<file path=xl/ctrlProps/ctrlProp9.xml><?xml version="1.0" encoding="utf-8"?>
<formControlPr xmlns="http://schemas.microsoft.com/office/spreadsheetml/2009/9/main" objectType="Drop" dropStyle="combo" dx="20" fmlaLink="FOCUSYEAR.no" fmlaRange="FOCUSYEAR.choices" noThreeD="1" sel="5" val="0"/>
</file>

<file path=xl/drawings/_rels/drawing1.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9.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34.xml"/><Relationship Id="rId3" Type="http://schemas.openxmlformats.org/officeDocument/2006/relationships/image" Target="../media/image2.WMF"/><Relationship Id="rId7" Type="http://schemas.openxmlformats.org/officeDocument/2006/relationships/chart" Target="../charts/chart33.xml"/><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 Id="rId9" Type="http://schemas.openxmlformats.org/officeDocument/2006/relationships/chart" Target="../charts/chart35.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5" Type="http://schemas.openxmlformats.org/officeDocument/2006/relationships/chart" Target="../charts/chart37.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image" Target="../media/image60.jpg"/></Relationships>
</file>

<file path=xl/drawings/_rels/drawing18.xml.rels><?xml version="1.0" encoding="UTF-8" standalone="yes"?>
<Relationships xmlns="http://schemas.openxmlformats.org/package/2006/relationships"><Relationship Id="rId8" Type="http://schemas.openxmlformats.org/officeDocument/2006/relationships/image" Target="../media/image65.png"/><Relationship Id="rId13" Type="http://schemas.openxmlformats.org/officeDocument/2006/relationships/image" Target="../media/image70.emf"/><Relationship Id="rId3" Type="http://schemas.openxmlformats.org/officeDocument/2006/relationships/image" Target="../media/image2.WMF"/><Relationship Id="rId7" Type="http://schemas.openxmlformats.org/officeDocument/2006/relationships/image" Target="../media/image64.emf"/><Relationship Id="rId12" Type="http://schemas.openxmlformats.org/officeDocument/2006/relationships/image" Target="../media/image69.emf"/><Relationship Id="rId17" Type="http://schemas.openxmlformats.org/officeDocument/2006/relationships/image" Target="../media/image74.emf"/><Relationship Id="rId2" Type="http://schemas.openxmlformats.org/officeDocument/2006/relationships/hyperlink" Target="#HOME!E6"/><Relationship Id="rId16" Type="http://schemas.openxmlformats.org/officeDocument/2006/relationships/image" Target="../media/image73.emf"/><Relationship Id="rId1" Type="http://schemas.openxmlformats.org/officeDocument/2006/relationships/image" Target="../media/image1.jpeg"/><Relationship Id="rId6" Type="http://schemas.openxmlformats.org/officeDocument/2006/relationships/image" Target="../media/image63.emf"/><Relationship Id="rId11" Type="http://schemas.openxmlformats.org/officeDocument/2006/relationships/image" Target="../media/image68.png"/><Relationship Id="rId5" Type="http://schemas.openxmlformats.org/officeDocument/2006/relationships/image" Target="../media/image62.emf"/><Relationship Id="rId15" Type="http://schemas.openxmlformats.org/officeDocument/2006/relationships/image" Target="../media/image72.png"/><Relationship Id="rId10" Type="http://schemas.openxmlformats.org/officeDocument/2006/relationships/image" Target="../media/image67.emf"/><Relationship Id="rId4" Type="http://schemas.openxmlformats.org/officeDocument/2006/relationships/image" Target="../media/image61.emf"/><Relationship Id="rId9" Type="http://schemas.openxmlformats.org/officeDocument/2006/relationships/image" Target="../media/image66.emf"/><Relationship Id="rId14" Type="http://schemas.openxmlformats.org/officeDocument/2006/relationships/image" Target="../media/image71.emf"/></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hyperlink" Target="#HOME!E6"/></Relationships>
</file>

<file path=xl/drawings/_rels/drawing2.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8" Type="http://schemas.openxmlformats.org/officeDocument/2006/relationships/hyperlink" Target="#'VISITOR DAYS'!E6"/><Relationship Id="rId13" Type="http://schemas.openxmlformats.org/officeDocument/2006/relationships/image" Target="../media/image7.emf"/><Relationship Id="rId18" Type="http://schemas.openxmlformats.org/officeDocument/2006/relationships/image" Target="../media/image10.png"/><Relationship Id="rId26" Type="http://schemas.openxmlformats.org/officeDocument/2006/relationships/hyperlink" Target="#'SECTORAL ANALYSIS'!E6"/><Relationship Id="rId3" Type="http://schemas.openxmlformats.org/officeDocument/2006/relationships/image" Target="../media/image2.WMF"/><Relationship Id="rId21" Type="http://schemas.openxmlformats.org/officeDocument/2006/relationships/hyperlink" Target="#COVER!E6"/><Relationship Id="rId34" Type="http://schemas.openxmlformats.org/officeDocument/2006/relationships/image" Target="../media/image18.emf"/><Relationship Id="rId7" Type="http://schemas.openxmlformats.org/officeDocument/2006/relationships/image" Target="../media/image4.emf"/><Relationship Id="rId12" Type="http://schemas.openxmlformats.org/officeDocument/2006/relationships/hyperlink" Target="#EMPLOYMENT!E6"/><Relationship Id="rId17" Type="http://schemas.openxmlformats.org/officeDocument/2006/relationships/hyperlink" Target="#'USER GUIDE'!E6"/><Relationship Id="rId25" Type="http://schemas.openxmlformats.org/officeDocument/2006/relationships/image" Target="../media/image13.png"/><Relationship Id="rId33" Type="http://schemas.openxmlformats.org/officeDocument/2006/relationships/hyperlink" Target="#'MONTHLY DISTRIBUTION'!E6"/><Relationship Id="rId2" Type="http://schemas.openxmlformats.org/officeDocument/2006/relationships/hyperlink" Target="#HOME!E6"/><Relationship Id="rId16" Type="http://schemas.openxmlformats.org/officeDocument/2006/relationships/image" Target="../media/image9.wmf"/><Relationship Id="rId20" Type="http://schemas.openxmlformats.org/officeDocument/2006/relationships/image" Target="../media/image11.wmf"/><Relationship Id="rId29" Type="http://schemas.openxmlformats.org/officeDocument/2006/relationships/image" Target="../media/image15.emf"/><Relationship Id="rId1" Type="http://schemas.openxmlformats.org/officeDocument/2006/relationships/image" Target="../media/image1.jpeg"/><Relationship Id="rId6" Type="http://schemas.openxmlformats.org/officeDocument/2006/relationships/hyperlink" Target="#'ECONOMIC IMPACT'!E6"/><Relationship Id="rId11" Type="http://schemas.openxmlformats.org/officeDocument/2006/relationships/image" Target="../media/image6.emf"/><Relationship Id="rId24" Type="http://schemas.openxmlformats.org/officeDocument/2006/relationships/image" Target="../media/image12.png"/><Relationship Id="rId32" Type="http://schemas.openxmlformats.org/officeDocument/2006/relationships/image" Target="../media/image17.emf"/><Relationship Id="rId5" Type="http://schemas.openxmlformats.org/officeDocument/2006/relationships/image" Target="../media/image3.emf"/><Relationship Id="rId15" Type="http://schemas.openxmlformats.org/officeDocument/2006/relationships/image" Target="../media/image8.emf"/><Relationship Id="rId23" Type="http://schemas.openxmlformats.org/officeDocument/2006/relationships/hyperlink" Target="#CONTENTS!A1"/><Relationship Id="rId28" Type="http://schemas.openxmlformats.org/officeDocument/2006/relationships/hyperlink" Target="#COVER!A1"/><Relationship Id="rId36" Type="http://schemas.openxmlformats.org/officeDocument/2006/relationships/image" Target="../media/image19.emf"/><Relationship Id="rId10" Type="http://schemas.openxmlformats.org/officeDocument/2006/relationships/hyperlink" Target="#'VISITOR NUMBERS'!E6"/><Relationship Id="rId19" Type="http://schemas.openxmlformats.org/officeDocument/2006/relationships/hyperlink" Target="#DATA!E6"/><Relationship Id="rId31" Type="http://schemas.openxmlformats.org/officeDocument/2006/relationships/hyperlink" Target="#'VISITOR TYPE DISTRIBUTION'!E6"/><Relationship Id="rId4" Type="http://schemas.openxmlformats.org/officeDocument/2006/relationships/hyperlink" Target="#'COMPARATIVE HEADLINES'!E6"/><Relationship Id="rId9" Type="http://schemas.openxmlformats.org/officeDocument/2006/relationships/image" Target="../media/image5.emf"/><Relationship Id="rId14" Type="http://schemas.openxmlformats.org/officeDocument/2006/relationships/hyperlink" Target="#'KEY MEASURES'!E6"/><Relationship Id="rId22" Type="http://schemas.openxmlformats.org/officeDocument/2006/relationships/hyperlink" Target="#CONTENTS!E6"/><Relationship Id="rId27" Type="http://schemas.openxmlformats.org/officeDocument/2006/relationships/image" Target="../media/image14.emf"/><Relationship Id="rId30" Type="http://schemas.openxmlformats.org/officeDocument/2006/relationships/image" Target="../media/image16.jpeg"/><Relationship Id="rId35" Type="http://schemas.openxmlformats.org/officeDocument/2006/relationships/hyperlink" Target="#'ACCOMMODATION SUPPLY'!E6"/></Relationships>
</file>

<file path=xl/drawings/_rels/drawing4.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image" Target="../media/image33.emf"/><Relationship Id="rId5" Type="http://schemas.openxmlformats.org/officeDocument/2006/relationships/image" Target="../media/image32.emf"/><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2.xml"/><Relationship Id="rId7" Type="http://schemas.openxmlformats.org/officeDocument/2006/relationships/chart" Target="../charts/chart4.xml"/><Relationship Id="rId2" Type="http://schemas.openxmlformats.org/officeDocument/2006/relationships/image" Target="../media/image1.jpeg"/><Relationship Id="rId1" Type="http://schemas.openxmlformats.org/officeDocument/2006/relationships/chart" Target="../charts/chart1.xml"/><Relationship Id="rId6" Type="http://schemas.openxmlformats.org/officeDocument/2006/relationships/chart" Target="../charts/chart3.xml"/><Relationship Id="rId11" Type="http://schemas.openxmlformats.org/officeDocument/2006/relationships/chart" Target="../charts/chart8.xml"/><Relationship Id="rId5" Type="http://schemas.openxmlformats.org/officeDocument/2006/relationships/image" Target="../media/image2.WMF"/><Relationship Id="rId10" Type="http://schemas.openxmlformats.org/officeDocument/2006/relationships/chart" Target="../charts/chart7.xml"/><Relationship Id="rId4" Type="http://schemas.openxmlformats.org/officeDocument/2006/relationships/hyperlink" Target="#HOME!E6"/><Relationship Id="rId9" Type="http://schemas.openxmlformats.org/officeDocument/2006/relationships/chart" Target="../charts/chart6.xml"/></Relationships>
</file>

<file path=xl/drawings/_rels/drawing6.xml.rels><?xml version="1.0" encoding="UTF-8" standalone="yes"?>
<Relationships xmlns="http://schemas.openxmlformats.org/package/2006/relationships"><Relationship Id="rId8" Type="http://schemas.openxmlformats.org/officeDocument/2006/relationships/image" Target="../media/image36.emf"/><Relationship Id="rId3" Type="http://schemas.openxmlformats.org/officeDocument/2006/relationships/image" Target="../media/image2.WMF"/><Relationship Id="rId7" Type="http://schemas.openxmlformats.org/officeDocument/2006/relationships/chart" Target="../charts/chart12.xml"/><Relationship Id="rId12" Type="http://schemas.openxmlformats.org/officeDocument/2006/relationships/image" Target="../media/image40.emf"/><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chart" Target="../charts/chart11.xml"/><Relationship Id="rId11" Type="http://schemas.openxmlformats.org/officeDocument/2006/relationships/image" Target="../media/image39.emf"/><Relationship Id="rId5" Type="http://schemas.openxmlformats.org/officeDocument/2006/relationships/chart" Target="../charts/chart10.xml"/><Relationship Id="rId10" Type="http://schemas.openxmlformats.org/officeDocument/2006/relationships/image" Target="../media/image38.emf"/><Relationship Id="rId4" Type="http://schemas.openxmlformats.org/officeDocument/2006/relationships/chart" Target="../charts/chart9.xml"/><Relationship Id="rId9" Type="http://schemas.openxmlformats.org/officeDocument/2006/relationships/image" Target="../media/image37.emf"/></Relationships>
</file>

<file path=xl/drawings/_rels/drawing7.xml.rels><?xml version="1.0" encoding="UTF-8" standalone="yes"?>
<Relationships xmlns="http://schemas.openxmlformats.org/package/2006/relationships"><Relationship Id="rId8" Type="http://schemas.openxmlformats.org/officeDocument/2006/relationships/image" Target="../media/image47.emf"/><Relationship Id="rId13" Type="http://schemas.openxmlformats.org/officeDocument/2006/relationships/chart" Target="../charts/chart18.xml"/><Relationship Id="rId18" Type="http://schemas.openxmlformats.org/officeDocument/2006/relationships/chart" Target="../charts/chart21.xml"/><Relationship Id="rId3" Type="http://schemas.openxmlformats.org/officeDocument/2006/relationships/image" Target="../media/image2.WMF"/><Relationship Id="rId7" Type="http://schemas.openxmlformats.org/officeDocument/2006/relationships/image" Target="../media/image46.emf"/><Relationship Id="rId12" Type="http://schemas.openxmlformats.org/officeDocument/2006/relationships/image" Target="../media/image49.emf"/><Relationship Id="rId17" Type="http://schemas.openxmlformats.org/officeDocument/2006/relationships/chart" Target="../charts/chart20.xml"/><Relationship Id="rId2" Type="http://schemas.openxmlformats.org/officeDocument/2006/relationships/hyperlink" Target="#HOME!E6"/><Relationship Id="rId16" Type="http://schemas.openxmlformats.org/officeDocument/2006/relationships/image" Target="../media/image51.emf"/><Relationship Id="rId1" Type="http://schemas.openxmlformats.org/officeDocument/2006/relationships/image" Target="../media/image1.jpeg"/><Relationship Id="rId6" Type="http://schemas.openxmlformats.org/officeDocument/2006/relationships/chart" Target="../charts/chart15.xml"/><Relationship Id="rId11" Type="http://schemas.openxmlformats.org/officeDocument/2006/relationships/image" Target="../media/image48.emf"/><Relationship Id="rId5" Type="http://schemas.openxmlformats.org/officeDocument/2006/relationships/chart" Target="../charts/chart14.xml"/><Relationship Id="rId15" Type="http://schemas.openxmlformats.org/officeDocument/2006/relationships/image" Target="../media/image50.emf"/><Relationship Id="rId10" Type="http://schemas.openxmlformats.org/officeDocument/2006/relationships/chart" Target="../charts/chart17.xml"/><Relationship Id="rId19" Type="http://schemas.openxmlformats.org/officeDocument/2006/relationships/image" Target="../media/image52.emf"/><Relationship Id="rId4" Type="http://schemas.openxmlformats.org/officeDocument/2006/relationships/chart" Target="../charts/chart13.xml"/><Relationship Id="rId9" Type="http://schemas.openxmlformats.org/officeDocument/2006/relationships/chart" Target="../charts/chart16.xml"/><Relationship Id="rId1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image" Target="../media/image2.WMF"/><Relationship Id="rId7" Type="http://schemas.openxmlformats.org/officeDocument/2006/relationships/chart" Target="../charts/chart25.xml"/><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6.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27.emf"/><Relationship Id="rId3" Type="http://schemas.openxmlformats.org/officeDocument/2006/relationships/image" Target="../media/image22.emf"/><Relationship Id="rId7" Type="http://schemas.openxmlformats.org/officeDocument/2006/relationships/image" Target="../media/image26.png"/><Relationship Id="rId12" Type="http://schemas.openxmlformats.org/officeDocument/2006/relationships/image" Target="../media/image31.emf"/><Relationship Id="rId2" Type="http://schemas.openxmlformats.org/officeDocument/2006/relationships/image" Target="../media/image21.emf"/><Relationship Id="rId1" Type="http://schemas.openxmlformats.org/officeDocument/2006/relationships/image" Target="../media/image20.emf"/><Relationship Id="rId6" Type="http://schemas.openxmlformats.org/officeDocument/2006/relationships/image" Target="../media/image25.emf"/><Relationship Id="rId11" Type="http://schemas.openxmlformats.org/officeDocument/2006/relationships/image" Target="../media/image30.emf"/><Relationship Id="rId5" Type="http://schemas.openxmlformats.org/officeDocument/2006/relationships/image" Target="../media/image24.emf"/><Relationship Id="rId10" Type="http://schemas.openxmlformats.org/officeDocument/2006/relationships/image" Target="../media/image29.emf"/><Relationship Id="rId4" Type="http://schemas.openxmlformats.org/officeDocument/2006/relationships/image" Target="../media/image23.emf"/><Relationship Id="rId9" Type="http://schemas.openxmlformats.org/officeDocument/2006/relationships/image" Target="../media/image28.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5.emf"/><Relationship Id="rId1" Type="http://schemas.openxmlformats.org/officeDocument/2006/relationships/image" Target="../media/image34.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43.emf"/><Relationship Id="rId2" Type="http://schemas.openxmlformats.org/officeDocument/2006/relationships/image" Target="../media/image42.emf"/><Relationship Id="rId1" Type="http://schemas.openxmlformats.org/officeDocument/2006/relationships/image" Target="../media/image41.emf"/><Relationship Id="rId5" Type="http://schemas.openxmlformats.org/officeDocument/2006/relationships/image" Target="../media/image45.emf"/><Relationship Id="rId4" Type="http://schemas.openxmlformats.org/officeDocument/2006/relationships/image" Target="../media/image44.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55.emf"/><Relationship Id="rId7" Type="http://schemas.openxmlformats.org/officeDocument/2006/relationships/image" Target="../media/image59.emf"/><Relationship Id="rId2" Type="http://schemas.openxmlformats.org/officeDocument/2006/relationships/image" Target="../media/image54.emf"/><Relationship Id="rId1" Type="http://schemas.openxmlformats.org/officeDocument/2006/relationships/image" Target="../media/image53.emf"/><Relationship Id="rId6" Type="http://schemas.openxmlformats.org/officeDocument/2006/relationships/image" Target="../media/image58.emf"/><Relationship Id="rId5" Type="http://schemas.openxmlformats.org/officeDocument/2006/relationships/image" Target="../media/image57.emf"/><Relationship Id="rId4" Type="http://schemas.openxmlformats.org/officeDocument/2006/relationships/image" Target="../media/image56.emf"/></Relationships>
</file>

<file path=xl/drawings/drawing1.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6" name="Rectangle 5"/>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7" name="Bent Arrow 6"/>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8" name="TextBox 7"/>
        <xdr:cNvSpPr txBox="1"/>
      </xdr:nvSpPr>
      <xdr:spPr>
        <a:xfrm>
          <a:off x="88125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0</xdr:colOff>
      <xdr:row>29</xdr:row>
      <xdr:rowOff>83820</xdr:rowOff>
    </xdr:from>
    <xdr:to>
      <xdr:col>24</xdr:col>
      <xdr:colOff>0</xdr:colOff>
      <xdr:row>37</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93345</xdr:colOff>
      <xdr:row>28</xdr:row>
      <xdr:rowOff>48608</xdr:rowOff>
    </xdr:from>
    <xdr:to>
      <xdr:col>23</xdr:col>
      <xdr:colOff>428625</xdr:colOff>
      <xdr:row>28</xdr:row>
      <xdr:rowOff>171481</xdr:rowOff>
    </xdr:to>
    <xdr:sp macro="" textlink="">
      <xdr:nvSpPr>
        <xdr:cNvPr id="11" name="TextBox 10"/>
        <xdr:cNvSpPr txBox="1"/>
      </xdr:nvSpPr>
      <xdr:spPr>
        <a:xfrm>
          <a:off x="8522970" y="5849333"/>
          <a:ext cx="262128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900" b="1" i="0" u="none" strike="noStrike">
              <a:solidFill>
                <a:schemeClr val="tx1">
                  <a:lumMod val="50000"/>
                  <a:lumOff val="50000"/>
                </a:schemeClr>
              </a:solidFill>
              <a:latin typeface="Calibri"/>
            </a:rPr>
            <a:t>Visitor No.s </a:t>
          </a:r>
          <a:r>
            <a:rPr lang="en-US" sz="900" b="1" i="0" u="none" strike="noStrike" baseline="0">
              <a:solidFill>
                <a:schemeClr val="tx1">
                  <a:lumMod val="50000"/>
                  <a:lumOff val="50000"/>
                </a:schemeClr>
              </a:solidFill>
              <a:latin typeface="Calibri"/>
            </a:rPr>
            <a:t>by Year and Share of Total</a:t>
          </a:r>
        </a:p>
      </xdr:txBody>
    </xdr:sp>
    <xdr:clientData/>
  </xdr:twoCellAnchor>
  <xdr:twoCellAnchor>
    <xdr:from>
      <xdr:col>17</xdr:col>
      <xdr:colOff>281940</xdr:colOff>
      <xdr:row>3</xdr:row>
      <xdr:rowOff>304801</xdr:rowOff>
    </xdr:from>
    <xdr:to>
      <xdr:col>21</xdr:col>
      <xdr:colOff>192180</xdr:colOff>
      <xdr:row>4</xdr:row>
      <xdr:rowOff>329521</xdr:rowOff>
    </xdr:to>
    <xdr:sp macro="" textlink="">
      <xdr:nvSpPr>
        <xdr:cNvPr id="15" name="Rectangle 14"/>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 </a:t>
          </a:r>
          <a:r>
            <a:rPr lang="en-GB" sz="900" b="1" baseline="0">
              <a:solidFill>
                <a:schemeClr val="bg1"/>
              </a:solidFill>
            </a:rPr>
            <a:t>%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18787" name="Drop Down 3" hidden="1">
              <a:extLst>
                <a:ext uri="{63B3BB69-23CF-44E3-9099-C40C66FF867C}">
                  <a14:compatExt spid="_x0000_s1187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18" name="Rectangle 17"/>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18789" name="Drop Down 5" hidden="1">
              <a:extLst>
                <a:ext uri="{63B3BB69-23CF-44E3-9099-C40C66FF867C}">
                  <a14:compatExt spid="_x0000_s1187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4" name="Rectangle 13"/>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6" name="Bent Arrow 15"/>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104775</xdr:colOff>
      <xdr:row>28</xdr:row>
      <xdr:rowOff>55245</xdr:rowOff>
    </xdr:from>
    <xdr:to>
      <xdr:col>18</xdr:col>
      <xdr:colOff>411479</xdr:colOff>
      <xdr:row>29</xdr:row>
      <xdr:rowOff>11431</xdr:rowOff>
    </xdr:to>
    <xdr:sp macro="" textlink="$F$16">
      <xdr:nvSpPr>
        <xdr:cNvPr id="17" name="TextBox 16"/>
        <xdr:cNvSpPr txBox="1"/>
      </xdr:nvSpPr>
      <xdr:spPr>
        <a:xfrm>
          <a:off x="8877300" y="5855970"/>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000s</a:t>
          </a:fld>
          <a:endParaRPr lang="en-US" sz="800" b="1" i="0" u="none" strike="noStrike">
            <a:solidFill>
              <a:sysClr val="windowText" lastClr="000000"/>
            </a:solidFill>
            <a:latin typeface="Calibri"/>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5" name="Rectangle 4"/>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6" name="Picture 5">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0</xdr:colOff>
      <xdr:row>29</xdr:row>
      <xdr:rowOff>83820</xdr:rowOff>
    </xdr:from>
    <xdr:to>
      <xdr:col>23</xdr:col>
      <xdr:colOff>457200</xdr:colOff>
      <xdr:row>37</xdr:row>
      <xdr:rowOff>114300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131445</xdr:colOff>
      <xdr:row>28</xdr:row>
      <xdr:rowOff>39083</xdr:rowOff>
    </xdr:from>
    <xdr:to>
      <xdr:col>24</xdr:col>
      <xdr:colOff>9525</xdr:colOff>
      <xdr:row>28</xdr:row>
      <xdr:rowOff>161956</xdr:rowOff>
    </xdr:to>
    <xdr:sp macro="" textlink="">
      <xdr:nvSpPr>
        <xdr:cNvPr id="13" name="TextBox 12"/>
        <xdr:cNvSpPr txBox="1"/>
      </xdr:nvSpPr>
      <xdr:spPr>
        <a:xfrm>
          <a:off x="8561070" y="5839808"/>
          <a:ext cx="262128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i="0" u="none" strike="noStrike">
              <a:solidFill>
                <a:schemeClr val="tx1">
                  <a:lumMod val="50000"/>
                  <a:lumOff val="50000"/>
                </a:schemeClr>
              </a:solidFill>
              <a:latin typeface="Calibri"/>
            </a:rPr>
            <a:t>Visitor Days </a:t>
          </a:r>
          <a:r>
            <a:rPr lang="en-US" sz="900" b="1" i="0" u="none" strike="noStrike" baseline="0">
              <a:solidFill>
                <a:schemeClr val="tx1">
                  <a:lumMod val="50000"/>
                  <a:lumOff val="50000"/>
                </a:schemeClr>
              </a:solidFill>
              <a:latin typeface="Calibri"/>
            </a:rPr>
            <a:t>by Year and Share of Total</a:t>
          </a:r>
          <a:endParaRPr lang="en-US" sz="900" b="1" i="0" u="none" strike="noStrike">
            <a:solidFill>
              <a:schemeClr val="tx1">
                <a:lumMod val="50000"/>
                <a:lumOff val="50000"/>
              </a:schemeClr>
            </a:solidFill>
            <a:latin typeface="Calibri"/>
          </a:endParaRPr>
        </a:p>
      </xdr:txBody>
    </xdr:sp>
    <xdr:clientData/>
  </xdr:twoCellAnchor>
  <xdr:twoCellAnchor>
    <xdr:from>
      <xdr:col>17</xdr:col>
      <xdr:colOff>281940</xdr:colOff>
      <xdr:row>3</xdr:row>
      <xdr:rowOff>304801</xdr:rowOff>
    </xdr:from>
    <xdr:to>
      <xdr:col>21</xdr:col>
      <xdr:colOff>192180</xdr:colOff>
      <xdr:row>4</xdr:row>
      <xdr:rowOff>329521</xdr:rowOff>
    </xdr:to>
    <xdr:sp macro="" textlink="">
      <xdr:nvSpPr>
        <xdr:cNvPr id="16" name="Rectangle 15"/>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17764" name="Drop Down 4" hidden="1">
              <a:extLst>
                <a:ext uri="{63B3BB69-23CF-44E3-9099-C40C66FF867C}">
                  <a14:compatExt spid="_x0000_s1177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18" name="Rectangle 17"/>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17766" name="Drop Down 6" hidden="1">
              <a:extLst>
                <a:ext uri="{63B3BB69-23CF-44E3-9099-C40C66FF867C}">
                  <a14:compatExt spid="_x0000_s1177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4" name="Rectangle 13"/>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5" name="Bent Arrow 14"/>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19050</xdr:colOff>
      <xdr:row>28</xdr:row>
      <xdr:rowOff>81915</xdr:rowOff>
    </xdr:from>
    <xdr:to>
      <xdr:col>18</xdr:col>
      <xdr:colOff>325754</xdr:colOff>
      <xdr:row>29</xdr:row>
      <xdr:rowOff>38101</xdr:rowOff>
    </xdr:to>
    <xdr:sp macro="" textlink="$F$16">
      <xdr:nvSpPr>
        <xdr:cNvPr id="17" name="TextBox 16"/>
        <xdr:cNvSpPr txBox="1"/>
      </xdr:nvSpPr>
      <xdr:spPr>
        <a:xfrm>
          <a:off x="8791575" y="5882640"/>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000s</a:t>
          </a:fld>
          <a:endParaRPr lang="en-US" sz="800" b="1" i="0" u="none" strike="noStrike">
            <a:solidFill>
              <a:sysClr val="windowText" lastClr="000000"/>
            </a:solidFill>
            <a:latin typeface="Calibri"/>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0</xdr:colOff>
      <xdr:row>29</xdr:row>
      <xdr:rowOff>83820</xdr:rowOff>
    </xdr:from>
    <xdr:to>
      <xdr:col>23</xdr:col>
      <xdr:colOff>457200</xdr:colOff>
      <xdr:row>37</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131445</xdr:colOff>
      <xdr:row>28</xdr:row>
      <xdr:rowOff>39083</xdr:rowOff>
    </xdr:from>
    <xdr:to>
      <xdr:col>24</xdr:col>
      <xdr:colOff>9525</xdr:colOff>
      <xdr:row>28</xdr:row>
      <xdr:rowOff>161956</xdr:rowOff>
    </xdr:to>
    <xdr:sp macro="" textlink="">
      <xdr:nvSpPr>
        <xdr:cNvPr id="11" name="TextBox 10"/>
        <xdr:cNvSpPr txBox="1"/>
      </xdr:nvSpPr>
      <xdr:spPr>
        <a:xfrm>
          <a:off x="8561070" y="5839808"/>
          <a:ext cx="262128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i="0" u="none" strike="noStrike">
              <a:solidFill>
                <a:schemeClr val="tx1">
                  <a:lumMod val="50000"/>
                  <a:lumOff val="50000"/>
                </a:schemeClr>
              </a:solidFill>
              <a:latin typeface="Calibri"/>
            </a:rPr>
            <a:t>Employment</a:t>
          </a:r>
          <a:r>
            <a:rPr lang="en-US" sz="900" b="1" i="0" u="none" strike="noStrike" baseline="0">
              <a:solidFill>
                <a:schemeClr val="tx1">
                  <a:lumMod val="50000"/>
                  <a:lumOff val="50000"/>
                </a:schemeClr>
              </a:solidFill>
              <a:latin typeface="Calibri"/>
            </a:rPr>
            <a:t> (FTEs) and Share of Total (%)</a:t>
          </a:r>
          <a:endParaRPr lang="en-US" sz="900" b="1" i="0" u="none" strike="noStrike">
            <a:solidFill>
              <a:schemeClr val="tx1">
                <a:lumMod val="50000"/>
                <a:lumOff val="50000"/>
              </a:schemeClr>
            </a:solidFill>
            <a:latin typeface="Calibri"/>
          </a:endParaRPr>
        </a:p>
      </xdr:txBody>
    </xdr:sp>
    <xdr:clientData/>
  </xdr:twoCellAnchor>
  <xdr:twoCellAnchor>
    <xdr:from>
      <xdr:col>17</xdr:col>
      <xdr:colOff>274320</xdr:colOff>
      <xdr:row>3</xdr:row>
      <xdr:rowOff>304801</xdr:rowOff>
    </xdr:from>
    <xdr:to>
      <xdr:col>21</xdr:col>
      <xdr:colOff>184560</xdr:colOff>
      <xdr:row>4</xdr:row>
      <xdr:rowOff>329521</xdr:rowOff>
    </xdr:to>
    <xdr:sp macro="" textlink="">
      <xdr:nvSpPr>
        <xdr:cNvPr id="14" name="Rectangle 13"/>
        <xdr:cNvSpPr/>
      </xdr:nvSpPr>
      <xdr:spPr>
        <a:xfrm>
          <a:off x="850392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171450</xdr:colOff>
          <xdr:row>4</xdr:row>
          <xdr:rowOff>19050</xdr:rowOff>
        </xdr:from>
        <xdr:to>
          <xdr:col>22</xdr:col>
          <xdr:colOff>257175</xdr:colOff>
          <xdr:row>4</xdr:row>
          <xdr:rowOff>295275</xdr:rowOff>
        </xdr:to>
        <xdr:sp macro="" textlink="">
          <xdr:nvSpPr>
            <xdr:cNvPr id="119811" name="Drop Down 3" hidden="1">
              <a:extLst>
                <a:ext uri="{63B3BB69-23CF-44E3-9099-C40C66FF867C}">
                  <a14:compatExt spid="_x0000_s1198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403860</xdr:colOff>
      <xdr:row>3</xdr:row>
      <xdr:rowOff>304800</xdr:rowOff>
    </xdr:from>
    <xdr:to>
      <xdr:col>9</xdr:col>
      <xdr:colOff>411480</xdr:colOff>
      <xdr:row>4</xdr:row>
      <xdr:rowOff>329520</xdr:rowOff>
    </xdr:to>
    <xdr:sp macro="" textlink="">
      <xdr:nvSpPr>
        <xdr:cNvPr id="16" name="Rectangle 15"/>
        <xdr:cNvSpPr/>
      </xdr:nvSpPr>
      <xdr:spPr>
        <a:xfrm>
          <a:off x="390906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142875</xdr:colOff>
          <xdr:row>4</xdr:row>
          <xdr:rowOff>295275</xdr:rowOff>
        </xdr:to>
        <xdr:sp macro="" textlink="">
          <xdr:nvSpPr>
            <xdr:cNvPr id="119812" name="Drop Down 4" hidden="1">
              <a:extLst>
                <a:ext uri="{63B3BB69-23CF-44E3-9099-C40C66FF867C}">
                  <a14:compatExt spid="_x0000_s1198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5" name="Rectangle 14"/>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7" name="Bent Arrow 16"/>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36195</xdr:colOff>
      <xdr:row>28</xdr:row>
      <xdr:rowOff>85725</xdr:rowOff>
    </xdr:from>
    <xdr:to>
      <xdr:col>18</xdr:col>
      <xdr:colOff>342899</xdr:colOff>
      <xdr:row>29</xdr:row>
      <xdr:rowOff>41911</xdr:rowOff>
    </xdr:to>
    <xdr:sp macro="" textlink="$F$16">
      <xdr:nvSpPr>
        <xdr:cNvPr id="18" name="TextBox 17"/>
        <xdr:cNvSpPr txBox="1"/>
      </xdr:nvSpPr>
      <xdr:spPr>
        <a:xfrm>
          <a:off x="8808720" y="5886450"/>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FTEs</a:t>
          </a:fld>
          <a:endParaRPr lang="en-US" sz="800" b="1" i="0" u="none" strike="noStrike">
            <a:solidFill>
              <a:sysClr val="windowText" lastClr="000000"/>
            </a:solidFill>
            <a:latin typeface="Calibri"/>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28575</xdr:colOff>
      <xdr:row>7</xdr:row>
      <xdr:rowOff>8560</xdr:rowOff>
    </xdr:from>
    <xdr:to>
      <xdr:col>23</xdr:col>
      <xdr:colOff>425036</xdr:colOff>
      <xdr:row>20</xdr:row>
      <xdr:rowOff>177249</xdr:rowOff>
    </xdr:to>
    <xdr:sp macro="" textlink="">
      <xdr:nvSpPr>
        <xdr:cNvPr id="24" name="Rectangle 23"/>
        <xdr:cNvSpPr/>
      </xdr:nvSpPr>
      <xdr:spPr>
        <a:xfrm>
          <a:off x="1323975" y="1608760"/>
          <a:ext cx="10302461" cy="276901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285750</xdr:colOff>
      <xdr:row>4</xdr:row>
      <xdr:rowOff>152400</xdr:rowOff>
    </xdr:from>
    <xdr:to>
      <xdr:col>16</xdr:col>
      <xdr:colOff>138840</xdr:colOff>
      <xdr:row>4</xdr:row>
      <xdr:rowOff>314326</xdr:rowOff>
    </xdr:to>
    <xdr:sp macro="" textlink="">
      <xdr:nvSpPr>
        <xdr:cNvPr id="4" name="Rectangle 3"/>
        <xdr:cNvSpPr/>
      </xdr:nvSpPr>
      <xdr:spPr>
        <a:xfrm>
          <a:off x="6143625" y="1019175"/>
          <a:ext cx="1796190" cy="161926"/>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12</xdr:col>
      <xdr:colOff>285750</xdr:colOff>
      <xdr:row>4</xdr:row>
      <xdr:rowOff>1</xdr:rowOff>
    </xdr:from>
    <xdr:to>
      <xdr:col>16</xdr:col>
      <xdr:colOff>138840</xdr:colOff>
      <xdr:row>4</xdr:row>
      <xdr:rowOff>158328</xdr:rowOff>
    </xdr:to>
    <xdr:sp macro="" textlink="M5">
      <xdr:nvSpPr>
        <xdr:cNvPr id="5" name="Rectangle 4"/>
        <xdr:cNvSpPr/>
      </xdr:nvSpPr>
      <xdr:spPr>
        <a:xfrm>
          <a:off x="6143625" y="866776"/>
          <a:ext cx="1796190" cy="158327"/>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fld id="{E78AF480-5E6A-4795-BF5C-6A90553519FD}" type="TxLink">
            <a:rPr lang="en-US" sz="900" b="1" i="0" u="none" strike="noStrike">
              <a:solidFill>
                <a:schemeClr val="bg1"/>
              </a:solidFill>
              <a:latin typeface="Calibri"/>
            </a:rPr>
            <a:pPr algn="ctr"/>
            <a:t>INDEXATION TO 2013 PRICES</a:t>
          </a:fld>
          <a:endParaRPr lang="en-GB" sz="900" b="1">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6" name="Picture 5"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7" name="TextBox 6"/>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8" name="Rectangle 7"/>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9" name="Picture 8">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229377" name="Drop Down 1" hidden="1">
              <a:extLst>
                <a:ext uri="{63B3BB69-23CF-44E3-9099-C40C66FF867C}">
                  <a14:compatExt spid="_x0000_s2293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1" name="Rectangle 10"/>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2" name="Bent Arrow 11"/>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19050</xdr:colOff>
      <xdr:row>4</xdr:row>
      <xdr:rowOff>0</xdr:rowOff>
    </xdr:from>
    <xdr:to>
      <xdr:col>5</xdr:col>
      <xdr:colOff>339090</xdr:colOff>
      <xdr:row>4</xdr:row>
      <xdr:rowOff>327660</xdr:rowOff>
    </xdr:to>
    <xdr:sp macro="" textlink="">
      <xdr:nvSpPr>
        <xdr:cNvPr id="14" name="Rectangle 13"/>
        <xdr:cNvSpPr/>
      </xdr:nvSpPr>
      <xdr:spPr>
        <a:xfrm>
          <a:off x="131445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333375</xdr:colOff>
          <xdr:row>4</xdr:row>
          <xdr:rowOff>19050</xdr:rowOff>
        </xdr:from>
        <xdr:to>
          <xdr:col>7</xdr:col>
          <xdr:colOff>200025</xdr:colOff>
          <xdr:row>4</xdr:row>
          <xdr:rowOff>295275</xdr:rowOff>
        </xdr:to>
        <xdr:sp macro="" textlink="">
          <xdr:nvSpPr>
            <xdr:cNvPr id="229378" name="Drop Down 2" hidden="1">
              <a:extLst>
                <a:ext uri="{63B3BB69-23CF-44E3-9099-C40C66FF867C}">
                  <a14:compatExt spid="_x0000_s2293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15735</xdr:colOff>
      <xdr:row>7</xdr:row>
      <xdr:rowOff>55217</xdr:rowOff>
    </xdr:from>
    <xdr:to>
      <xdr:col>23</xdr:col>
      <xdr:colOff>416582</xdr:colOff>
      <xdr:row>37</xdr:row>
      <xdr:rowOff>40090</xdr:rowOff>
    </xdr:to>
    <xdr:grpSp>
      <xdr:nvGrpSpPr>
        <xdr:cNvPr id="18" name="Group 17"/>
        <xdr:cNvGrpSpPr/>
      </xdr:nvGrpSpPr>
      <xdr:grpSpPr>
        <a:xfrm>
          <a:off x="1311135" y="1655417"/>
          <a:ext cx="10306847" cy="5985623"/>
          <a:chOff x="1304924" y="1706849"/>
          <a:chExt cx="10368000" cy="5951250"/>
        </a:xfrm>
      </xdr:grpSpPr>
      <xdr:sp macro="" textlink="">
        <xdr:nvSpPr>
          <xdr:cNvPr id="37" name="Rectangle 36"/>
          <xdr:cNvSpPr/>
        </xdr:nvSpPr>
        <xdr:spPr>
          <a:xfrm>
            <a:off x="1304924" y="3905249"/>
            <a:ext cx="10368000" cy="37528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aphicFrame macro="">
        <xdr:nvGraphicFramePr>
          <xdr:cNvPr id="34" name="Chart 33"/>
          <xdr:cNvGraphicFramePr>
            <a:graphicFrameLocks/>
          </xdr:cNvGraphicFramePr>
        </xdr:nvGraphicFramePr>
        <xdr:xfrm>
          <a:off x="1981199" y="3937853"/>
          <a:ext cx="2600905" cy="2320588"/>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35" name="Chart 34"/>
          <xdr:cNvGraphicFramePr>
            <a:graphicFrameLocks/>
          </xdr:cNvGraphicFramePr>
        </xdr:nvGraphicFramePr>
        <xdr:xfrm>
          <a:off x="4204530" y="3895724"/>
          <a:ext cx="4089325" cy="2320587"/>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33" name="Chart 32"/>
          <xdr:cNvGraphicFramePr>
            <a:graphicFrameLocks/>
          </xdr:cNvGraphicFramePr>
        </xdr:nvGraphicFramePr>
        <xdr:xfrm>
          <a:off x="8420100" y="3952875"/>
          <a:ext cx="3248717" cy="2198595"/>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10" name="Chart 9"/>
          <xdr:cNvGraphicFramePr/>
        </xdr:nvGraphicFramePr>
        <xdr:xfrm>
          <a:off x="1933574" y="1706849"/>
          <a:ext cx="2886076" cy="2312700"/>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27" name="Chart 26"/>
          <xdr:cNvGraphicFramePr>
            <a:graphicFrameLocks/>
          </xdr:cNvGraphicFramePr>
        </xdr:nvGraphicFramePr>
        <xdr:xfrm>
          <a:off x="4714876" y="1743075"/>
          <a:ext cx="3601136" cy="231270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29" name="Chart 28"/>
          <xdr:cNvGraphicFramePr/>
        </xdr:nvGraphicFramePr>
        <xdr:xfrm>
          <a:off x="8362951" y="1712361"/>
          <a:ext cx="3257550" cy="2287121"/>
        </xdr:xfrm>
        <a:graphic>
          <a:graphicData uri="http://schemas.openxmlformats.org/drawingml/2006/chart">
            <c:chart xmlns:c="http://schemas.openxmlformats.org/drawingml/2006/chart" xmlns:r="http://schemas.openxmlformats.org/officeDocument/2006/relationships" r:id="rId9"/>
          </a:graphicData>
        </a:graphic>
      </xdr:graphicFrame>
      <xdr:sp macro="" textlink="E8">
        <xdr:nvSpPr>
          <xdr:cNvPr id="2" name="Rectangle 1"/>
          <xdr:cNvSpPr/>
        </xdr:nvSpPr>
        <xdr:spPr>
          <a:xfrm rot="16200000">
            <a:off x="592043" y="2532160"/>
            <a:ext cx="2111567" cy="590546"/>
          </a:xfrm>
          <a:prstGeom prst="rect">
            <a:avLst/>
          </a:prstGeom>
          <a:solidFill>
            <a:schemeClr val="accent3">
              <a:lumMod val="20000"/>
              <a:lumOff val="80000"/>
            </a:schemeClr>
          </a:solidFill>
          <a:ln>
            <a:solidFill>
              <a:schemeClr val="accent3">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fld id="{71157BCB-97B9-4BAA-B5A6-C2369C4DD940}" type="TxLink">
              <a:rPr lang="en-US" sz="1400" b="1" i="0" u="none" strike="noStrike">
                <a:solidFill>
                  <a:sysClr val="windowText" lastClr="000000"/>
                </a:solidFill>
                <a:latin typeface="Calibri"/>
              </a:rPr>
              <a:pPr algn="ctr"/>
              <a:t>Serviced Accommodation</a:t>
            </a:fld>
            <a:endParaRPr lang="en-GB" sz="1400">
              <a:solidFill>
                <a:sysClr val="windowText" lastClr="000000"/>
              </a:solidFill>
            </a:endParaRPr>
          </a:p>
        </xdr:txBody>
      </xdr:sp>
      <xdr:sp macro="" textlink="E22">
        <xdr:nvSpPr>
          <xdr:cNvPr id="32" name="Rectangle 31"/>
          <xdr:cNvSpPr/>
        </xdr:nvSpPr>
        <xdr:spPr>
          <a:xfrm rot="16200000">
            <a:off x="647693" y="4762506"/>
            <a:ext cx="2047891" cy="581028"/>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fld id="{4F8F09B6-5BFC-4AB9-ABDD-758B1376B159}" type="TxLink">
              <a:rPr lang="en-US" sz="1400" b="1" i="0" u="none" strike="noStrike">
                <a:solidFill>
                  <a:schemeClr val="tx1"/>
                </a:solidFill>
                <a:latin typeface="Calibri"/>
              </a:rPr>
              <a:pPr algn="ctr"/>
              <a:t>Non-Serviced Accommodation</a:t>
            </a:fld>
            <a:endParaRPr lang="en-GB" sz="1400">
              <a:solidFill>
                <a:schemeClr val="tx1"/>
              </a:solidFill>
            </a:endParaRPr>
          </a:p>
        </xdr:txBody>
      </xdr:sp>
      <xdr:sp macro="" textlink="T34">
        <xdr:nvSpPr>
          <xdr:cNvPr id="13" name="Rectangle 12"/>
          <xdr:cNvSpPr/>
        </xdr:nvSpPr>
        <xdr:spPr>
          <a:xfrm>
            <a:off x="1647824" y="6248400"/>
            <a:ext cx="9867901" cy="1028700"/>
          </a:xfrm>
          <a:prstGeom prst="rect">
            <a:avLst/>
          </a:prstGeom>
          <a:noFill/>
          <a:ln w="57150">
            <a:solidFill>
              <a:srgbClr val="00B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816D49B-1C5F-4ADB-B120-48711CFB05FD}" type="TxLink">
              <a:rPr lang="en-US" sz="1400" b="1" i="0" u="none" strike="noStrike">
                <a:solidFill>
                  <a:srgbClr val="00B050"/>
                </a:solidFill>
                <a:latin typeface="Calibri"/>
              </a:rPr>
              <a:pPr algn="ctr"/>
              <a:t>A total of 408 accommodation establishments provided a maximum of 
6,875 bed spaces for use by visitors during 2013.
The largest number of bed spaces was provided by touring/camping establishments (2,211 bed spaces)</a:t>
            </a:fld>
            <a:endParaRPr lang="en-GB" sz="1400">
              <a:solidFill>
                <a:srgbClr val="00B050"/>
              </a:solidFill>
            </a:endParaRPr>
          </a:p>
        </xdr:txBody>
      </xdr:sp>
      <xdr:sp macro="" textlink="">
        <xdr:nvSpPr>
          <xdr:cNvPr id="36" name="Rectangle 35"/>
          <xdr:cNvSpPr/>
        </xdr:nvSpPr>
        <xdr:spPr>
          <a:xfrm rot="16200000">
            <a:off x="1143000" y="6467475"/>
            <a:ext cx="1057276" cy="58102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lang="en-US" sz="1400" b="1" i="0" u="none" strike="noStrike">
                <a:solidFill>
                  <a:schemeClr val="bg1"/>
                </a:solidFill>
                <a:latin typeface="Calibri"/>
              </a:rPr>
              <a:t>Total</a:t>
            </a:r>
          </a:p>
        </xdr:txBody>
      </xdr:sp>
      <xdr:sp macro="" textlink="T30">
        <xdr:nvSpPr>
          <xdr:cNvPr id="17" name="Rectangle 16"/>
          <xdr:cNvSpPr/>
        </xdr:nvSpPr>
        <xdr:spPr>
          <a:xfrm>
            <a:off x="2085975" y="1762125"/>
            <a:ext cx="3024000" cy="209520"/>
          </a:xfrm>
          <a:prstGeom prst="rect">
            <a:avLst/>
          </a:prstGeom>
          <a:solidFill>
            <a:schemeClr val="accent3">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8B2E70E-76D4-4578-93DB-FBF84BD7327A}" type="TxLink">
              <a:rPr lang="en-US" sz="1400" b="1" i="0" u="none" strike="noStrike">
                <a:solidFill>
                  <a:schemeClr val="tx1"/>
                </a:solidFill>
                <a:latin typeface="Calibri"/>
              </a:rPr>
              <a:pPr algn="ctr"/>
              <a:t>52.0% of all Establishments</a:t>
            </a:fld>
            <a:endParaRPr lang="en-GB" sz="1400">
              <a:solidFill>
                <a:schemeClr val="tx1"/>
              </a:solidFill>
            </a:endParaRPr>
          </a:p>
        </xdr:txBody>
      </xdr:sp>
      <xdr:sp macro="" textlink="T31">
        <xdr:nvSpPr>
          <xdr:cNvPr id="39" name="Rectangle 38"/>
          <xdr:cNvSpPr/>
        </xdr:nvSpPr>
        <xdr:spPr>
          <a:xfrm>
            <a:off x="5238750" y="1762124"/>
            <a:ext cx="3024000" cy="209520"/>
          </a:xfrm>
          <a:prstGeom prst="rect">
            <a:avLst/>
          </a:prstGeom>
          <a:solidFill>
            <a:schemeClr val="accent3">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6F01248-11C9-4BE9-B968-8D333F5CF79A}" type="TxLink">
              <a:rPr lang="en-US" sz="1400" b="1" i="0" u="none" strike="noStrike">
                <a:solidFill>
                  <a:schemeClr val="tx1"/>
                </a:solidFill>
                <a:latin typeface="Calibri"/>
              </a:rPr>
              <a:pPr algn="ctr"/>
              <a:t>38.5% of all Bed Spaces</a:t>
            </a:fld>
            <a:endParaRPr lang="en-GB" sz="1400">
              <a:solidFill>
                <a:schemeClr val="tx1"/>
              </a:solidFill>
            </a:endParaRPr>
          </a:p>
        </xdr:txBody>
      </xdr:sp>
      <xdr:sp macro="" textlink="U30">
        <xdr:nvSpPr>
          <xdr:cNvPr id="40" name="Rectangle 39"/>
          <xdr:cNvSpPr/>
        </xdr:nvSpPr>
        <xdr:spPr>
          <a:xfrm>
            <a:off x="2066925" y="4019551"/>
            <a:ext cx="3024000" cy="209520"/>
          </a:xfrm>
          <a:prstGeom prst="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946A8B4-67CF-4DA1-B13C-67C73BDBF75C}" type="TxLink">
              <a:rPr lang="en-US" sz="1400" b="1" i="0" u="none" strike="noStrike">
                <a:solidFill>
                  <a:schemeClr val="tx1"/>
                </a:solidFill>
                <a:latin typeface="Calibri"/>
              </a:rPr>
              <a:pPr algn="ctr"/>
              <a:t>48.0% of all Establishments</a:t>
            </a:fld>
            <a:endParaRPr lang="en-GB" sz="1400">
              <a:solidFill>
                <a:schemeClr val="tx1"/>
              </a:solidFill>
            </a:endParaRPr>
          </a:p>
        </xdr:txBody>
      </xdr:sp>
      <xdr:sp macro="" textlink="U31">
        <xdr:nvSpPr>
          <xdr:cNvPr id="41" name="Rectangle 40"/>
          <xdr:cNvSpPr/>
        </xdr:nvSpPr>
        <xdr:spPr>
          <a:xfrm>
            <a:off x="5219700" y="4019550"/>
            <a:ext cx="3024000" cy="209520"/>
          </a:xfrm>
          <a:prstGeom prst="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993FF4C-1DF7-455F-80DB-62E8F5B6F978}" type="TxLink">
              <a:rPr lang="en-US" sz="1400" b="1" i="0" u="none" strike="noStrike">
                <a:solidFill>
                  <a:schemeClr val="tx1"/>
                </a:solidFill>
                <a:latin typeface="Calibri"/>
              </a:rPr>
              <a:pPr algn="ctr"/>
              <a:t>61.5% of all Bed Spaces</a:t>
            </a:fld>
            <a:endParaRPr lang="en-GB" sz="1400">
              <a:solidFill>
                <a:schemeClr val="tx1"/>
              </a:solidFill>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17</xdr:col>
      <xdr:colOff>274320</xdr:colOff>
      <xdr:row>3</xdr:row>
      <xdr:rowOff>304801</xdr:rowOff>
    </xdr:from>
    <xdr:to>
      <xdr:col>21</xdr:col>
      <xdr:colOff>184560</xdr:colOff>
      <xdr:row>4</xdr:row>
      <xdr:rowOff>329521</xdr:rowOff>
    </xdr:to>
    <xdr:sp macro="" textlink="">
      <xdr:nvSpPr>
        <xdr:cNvPr id="10" name="Rectangle 9"/>
        <xdr:cNvSpPr/>
      </xdr:nvSpPr>
      <xdr:spPr>
        <a:xfrm>
          <a:off x="850392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171450</xdr:colOff>
          <xdr:row>4</xdr:row>
          <xdr:rowOff>19050</xdr:rowOff>
        </xdr:from>
        <xdr:to>
          <xdr:col>22</xdr:col>
          <xdr:colOff>257175</xdr:colOff>
          <xdr:row>4</xdr:row>
          <xdr:rowOff>295275</xdr:rowOff>
        </xdr:to>
        <xdr:sp macro="" textlink="">
          <xdr:nvSpPr>
            <xdr:cNvPr id="126977" name="Drop Down 1" hidden="1">
              <a:extLst>
                <a:ext uri="{63B3BB69-23CF-44E3-9099-C40C66FF867C}">
                  <a14:compatExt spid="_x0000_s1269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304800</xdr:colOff>
      <xdr:row>4</xdr:row>
      <xdr:rowOff>0</xdr:rowOff>
    </xdr:from>
    <xdr:to>
      <xdr:col>16</xdr:col>
      <xdr:colOff>138840</xdr:colOff>
      <xdr:row>4</xdr:row>
      <xdr:rowOff>327660</xdr:rowOff>
    </xdr:to>
    <xdr:sp macro="" textlink="">
      <xdr:nvSpPr>
        <xdr:cNvPr id="14" name="Rectangle 13"/>
        <xdr:cNvSpPr/>
      </xdr:nvSpPr>
      <xdr:spPr>
        <a:xfrm>
          <a:off x="6644640" y="876300"/>
          <a:ext cx="1251360" cy="32766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dr:col>16</xdr:col>
          <xdr:colOff>66675</xdr:colOff>
          <xdr:row>4</xdr:row>
          <xdr:rowOff>19050</xdr:rowOff>
        </xdr:from>
        <xdr:to>
          <xdr:col>17</xdr:col>
          <xdr:colOff>285750</xdr:colOff>
          <xdr:row>4</xdr:row>
          <xdr:rowOff>295275</xdr:rowOff>
        </xdr:to>
        <xdr:sp macro="" textlink="">
          <xdr:nvSpPr>
            <xdr:cNvPr id="126979" name="Drop Down 3" hidden="1">
              <a:extLst>
                <a:ext uri="{63B3BB69-23CF-44E3-9099-C40C66FF867C}">
                  <a14:compatExt spid="_x0000_s126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22860</xdr:colOff>
      <xdr:row>4</xdr:row>
      <xdr:rowOff>0</xdr:rowOff>
    </xdr:from>
    <xdr:to>
      <xdr:col>6</xdr:col>
      <xdr:colOff>0</xdr:colOff>
      <xdr:row>4</xdr:row>
      <xdr:rowOff>327660</xdr:rowOff>
    </xdr:to>
    <xdr:sp macro="" textlink="">
      <xdr:nvSpPr>
        <xdr:cNvPr id="16" name="Rectangle 15"/>
        <xdr:cNvSpPr/>
      </xdr:nvSpPr>
      <xdr:spPr>
        <a:xfrm>
          <a:off x="131826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6</xdr:col>
          <xdr:colOff>9525</xdr:colOff>
          <xdr:row>4</xdr:row>
          <xdr:rowOff>19050</xdr:rowOff>
        </xdr:from>
        <xdr:to>
          <xdr:col>7</xdr:col>
          <xdr:colOff>219075</xdr:colOff>
          <xdr:row>4</xdr:row>
          <xdr:rowOff>295275</xdr:rowOff>
        </xdr:to>
        <xdr:sp macro="" textlink="">
          <xdr:nvSpPr>
            <xdr:cNvPr id="126980" name="Drop Down 4" hidden="1">
              <a:extLst>
                <a:ext uri="{63B3BB69-23CF-44E3-9099-C40C66FF867C}">
                  <a14:compatExt spid="_x0000_s126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xdr:colOff>
      <xdr:row>7</xdr:row>
      <xdr:rowOff>15240</xdr:rowOff>
    </xdr:from>
    <xdr:to>
      <xdr:col>23</xdr:col>
      <xdr:colOff>449580</xdr:colOff>
      <xdr:row>20</xdr:row>
      <xdr:rowOff>160020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236220</xdr:colOff>
      <xdr:row>1</xdr:row>
      <xdr:rowOff>91440</xdr:rowOff>
    </xdr:from>
    <xdr:to>
      <xdr:col>22</xdr:col>
      <xdr:colOff>182880</xdr:colOff>
      <xdr:row>2</xdr:row>
      <xdr:rowOff>190500</xdr:rowOff>
    </xdr:to>
    <xdr:sp macro="" textlink="">
      <xdr:nvSpPr>
        <xdr:cNvPr id="15" name="Rectangle 14"/>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7" name="Bent Arrow 16"/>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20</xdr:col>
      <xdr:colOff>22860</xdr:colOff>
      <xdr:row>9</xdr:row>
      <xdr:rowOff>76200</xdr:rowOff>
    </xdr:from>
    <xdr:to>
      <xdr:col>22</xdr:col>
      <xdr:colOff>68580</xdr:colOff>
      <xdr:row>10</xdr:row>
      <xdr:rowOff>182880</xdr:rowOff>
    </xdr:to>
    <xdr:sp macro="" textlink="$U$10">
      <xdr:nvSpPr>
        <xdr:cNvPr id="6" name="TextBox 5"/>
        <xdr:cNvSpPr txBox="1"/>
      </xdr:nvSpPr>
      <xdr:spPr>
        <a:xfrm>
          <a:off x="9669780" y="2110740"/>
          <a:ext cx="99060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AC82F7C8-018C-4E24-BE2C-AF3B13B0C8BD}" type="TxLink">
            <a:rPr lang="en-US" sz="900" b="1" i="0" u="none" strike="noStrike">
              <a:solidFill>
                <a:schemeClr val="tx2"/>
              </a:solidFill>
              <a:latin typeface="Calibri"/>
            </a:rPr>
            <a:pPr algn="ctr"/>
            <a:t>Accommodation (17.1%)</a:t>
          </a:fld>
          <a:endParaRPr lang="en-GB" sz="900" b="1">
            <a:solidFill>
              <a:schemeClr val="tx2"/>
            </a:solidFill>
          </a:endParaRPr>
        </a:p>
      </xdr:txBody>
    </xdr:sp>
    <xdr:clientData/>
  </xdr:twoCellAnchor>
  <xdr:twoCellAnchor>
    <xdr:from>
      <xdr:col>18</xdr:col>
      <xdr:colOff>15240</xdr:colOff>
      <xdr:row>22</xdr:row>
      <xdr:rowOff>15240</xdr:rowOff>
    </xdr:from>
    <xdr:to>
      <xdr:col>23</xdr:col>
      <xdr:colOff>441960</xdr:colOff>
      <xdr:row>35</xdr:row>
      <xdr:rowOff>160020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66675</xdr:colOff>
      <xdr:row>22</xdr:row>
      <xdr:rowOff>76200</xdr:rowOff>
    </xdr:from>
    <xdr:to>
      <xdr:col>23</xdr:col>
      <xdr:colOff>403860</xdr:colOff>
      <xdr:row>23</xdr:row>
      <xdr:rowOff>149075</xdr:rowOff>
    </xdr:to>
    <xdr:sp macro="" textlink="$E$23">
      <xdr:nvSpPr>
        <xdr:cNvPr id="22" name="TextBox 19"/>
        <xdr:cNvSpPr txBox="1"/>
      </xdr:nvSpPr>
      <xdr:spPr>
        <a:xfrm>
          <a:off x="8953500" y="4476750"/>
          <a:ext cx="2165985" cy="2729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E9D1E3D1-2544-4FD7-8D4B-177A621169DB}" type="TxLink">
            <a:rPr lang="en-US" sz="1000" b="1" i="0" u="none" strike="noStrike">
              <a:solidFill>
                <a:schemeClr val="accent6">
                  <a:lumMod val="50000"/>
                </a:schemeClr>
              </a:solidFill>
              <a:latin typeface="Calibri"/>
            </a:rPr>
            <a:pPr algn="ctr"/>
            <a:t>SECTORAL DISTRIBUTION OF EMPLOYMENT - FTES</a:t>
          </a:fld>
          <a:endParaRPr lang="en-GB" sz="1000">
            <a:solidFill>
              <a:schemeClr val="accent6">
                <a:lumMod val="50000"/>
              </a:schemeClr>
            </a:solidFill>
          </a:endParaRPr>
        </a:p>
      </xdr:txBody>
    </xdr:sp>
    <xdr:clientData/>
  </xdr:twoCellAnchor>
  <xdr:twoCellAnchor>
    <xdr:from>
      <xdr:col>18</xdr:col>
      <xdr:colOff>41910</xdr:colOff>
      <xdr:row>22</xdr:row>
      <xdr:rowOff>20806</xdr:rowOff>
    </xdr:from>
    <xdr:to>
      <xdr:col>19</xdr:col>
      <xdr:colOff>54499</xdr:colOff>
      <xdr:row>23</xdr:row>
      <xdr:rowOff>93681</xdr:rowOff>
    </xdr:to>
    <xdr:sp macro="" textlink="$S$24">
      <xdr:nvSpPr>
        <xdr:cNvPr id="23" name="TextBox 19"/>
        <xdr:cNvSpPr txBox="1"/>
      </xdr:nvSpPr>
      <xdr:spPr>
        <a:xfrm>
          <a:off x="8471535" y="4421356"/>
          <a:ext cx="469789" cy="2729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fld id="{3706FA83-C796-4819-8A01-40886B4A07D5}" type="TxLink">
            <a:rPr lang="en-US" sz="1600" b="1" i="0" u="none" strike="noStrike">
              <a:solidFill>
                <a:schemeClr val="accent6">
                  <a:lumMod val="50000"/>
                </a:schemeClr>
              </a:solidFill>
              <a:latin typeface="Calibri"/>
            </a:rPr>
            <a:pPr/>
            <a:t>2013</a:t>
          </a:fld>
          <a:endParaRPr lang="en-GB" sz="1600">
            <a:solidFill>
              <a:schemeClr val="accent6">
                <a:lumMod val="50000"/>
              </a:schemeClr>
            </a:solidFill>
          </a:endParaRPr>
        </a:p>
      </xdr:txBody>
    </xdr:sp>
    <xdr:clientData/>
  </xdr:twoCellAnchor>
  <xdr:twoCellAnchor>
    <xdr:from>
      <xdr:col>22</xdr:col>
      <xdr:colOff>167640</xdr:colOff>
      <xdr:row>11</xdr:row>
      <xdr:rowOff>7620</xdr:rowOff>
    </xdr:from>
    <xdr:to>
      <xdr:col>23</xdr:col>
      <xdr:colOff>449580</xdr:colOff>
      <xdr:row>12</xdr:row>
      <xdr:rowOff>114300</xdr:rowOff>
    </xdr:to>
    <xdr:sp macro="" textlink="$U$11">
      <xdr:nvSpPr>
        <xdr:cNvPr id="24" name="TextBox 23"/>
        <xdr:cNvSpPr txBox="1"/>
      </xdr:nvSpPr>
      <xdr:spPr>
        <a:xfrm>
          <a:off x="10759440" y="2453640"/>
          <a:ext cx="75438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DA71BDD8-B9FD-420D-A32D-15B0E0F737FE}" type="TxLink">
            <a:rPr lang="en-US" sz="900" b="1" i="0" u="none" strike="noStrike">
              <a:solidFill>
                <a:schemeClr val="accent2"/>
              </a:solidFill>
              <a:latin typeface="Calibri"/>
            </a:rPr>
            <a:pPr algn="ctr"/>
            <a:t>Food &amp; Drink (14.7%)</a:t>
          </a:fld>
          <a:endParaRPr lang="en-GB" sz="900" b="1">
            <a:solidFill>
              <a:schemeClr val="accent2"/>
            </a:solidFill>
          </a:endParaRPr>
        </a:p>
      </xdr:txBody>
    </xdr:sp>
    <xdr:clientData/>
  </xdr:twoCellAnchor>
  <xdr:twoCellAnchor>
    <xdr:from>
      <xdr:col>22</xdr:col>
      <xdr:colOff>283845</xdr:colOff>
      <xdr:row>16</xdr:row>
      <xdr:rowOff>112395</xdr:rowOff>
    </xdr:from>
    <xdr:to>
      <xdr:col>24</xdr:col>
      <xdr:colOff>93345</xdr:colOff>
      <xdr:row>18</xdr:row>
      <xdr:rowOff>13335</xdr:rowOff>
    </xdr:to>
    <xdr:sp macro="" textlink="$U$12">
      <xdr:nvSpPr>
        <xdr:cNvPr id="25" name="TextBox 24"/>
        <xdr:cNvSpPr txBox="1"/>
      </xdr:nvSpPr>
      <xdr:spPr>
        <a:xfrm>
          <a:off x="10542270" y="3512820"/>
          <a:ext cx="723900" cy="300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A8F0391D-4787-4B25-990C-7BF95AFEB69B}" type="TxLink">
            <a:rPr lang="en-US" sz="900" b="1" i="0" u="none" strike="noStrike">
              <a:solidFill>
                <a:schemeClr val="accent6">
                  <a:lumMod val="75000"/>
                </a:schemeClr>
              </a:solidFill>
              <a:latin typeface="Calibri"/>
            </a:rPr>
            <a:pPr algn="ctr"/>
            <a:t>Recreation (6.5%)</a:t>
          </a:fld>
          <a:endParaRPr lang="en-GB" sz="900" b="1">
            <a:solidFill>
              <a:schemeClr val="accent6">
                <a:lumMod val="75000"/>
              </a:schemeClr>
            </a:solidFill>
          </a:endParaRPr>
        </a:p>
      </xdr:txBody>
    </xdr:sp>
    <xdr:clientData/>
  </xdr:twoCellAnchor>
  <xdr:twoCellAnchor>
    <xdr:from>
      <xdr:col>21</xdr:col>
      <xdr:colOff>278130</xdr:colOff>
      <xdr:row>19</xdr:row>
      <xdr:rowOff>121920</xdr:rowOff>
    </xdr:from>
    <xdr:to>
      <xdr:col>23</xdr:col>
      <xdr:colOff>87630</xdr:colOff>
      <xdr:row>22</xdr:row>
      <xdr:rowOff>22860</xdr:rowOff>
    </xdr:to>
    <xdr:sp macro="" textlink="$U$13">
      <xdr:nvSpPr>
        <xdr:cNvPr id="26" name="TextBox 25"/>
        <xdr:cNvSpPr txBox="1"/>
      </xdr:nvSpPr>
      <xdr:spPr>
        <a:xfrm>
          <a:off x="10079355" y="4122420"/>
          <a:ext cx="723900" cy="300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4F619D6C-0836-40A8-A0C5-6AA8FC34234F}" type="TxLink">
            <a:rPr lang="en-US" sz="900" b="1" i="0" u="none" strike="noStrike">
              <a:solidFill>
                <a:srgbClr val="558ED5"/>
              </a:solidFill>
              <a:latin typeface="Calibri"/>
            </a:rPr>
            <a:pPr algn="ctr"/>
            <a:t>Shopping (8.5%)</a:t>
          </a:fld>
          <a:endParaRPr lang="en-GB" sz="900" b="1">
            <a:solidFill>
              <a:srgbClr val="558ED5"/>
            </a:solidFill>
          </a:endParaRPr>
        </a:p>
      </xdr:txBody>
    </xdr:sp>
    <xdr:clientData/>
  </xdr:twoCellAnchor>
  <xdr:twoCellAnchor>
    <xdr:from>
      <xdr:col>18</xdr:col>
      <xdr:colOff>445770</xdr:colOff>
      <xdr:row>19</xdr:row>
      <xdr:rowOff>74295</xdr:rowOff>
    </xdr:from>
    <xdr:to>
      <xdr:col>20</xdr:col>
      <xdr:colOff>255270</xdr:colOff>
      <xdr:row>20</xdr:row>
      <xdr:rowOff>180975</xdr:rowOff>
    </xdr:to>
    <xdr:sp macro="" textlink="$U$14">
      <xdr:nvSpPr>
        <xdr:cNvPr id="27" name="TextBox 26"/>
        <xdr:cNvSpPr txBox="1"/>
      </xdr:nvSpPr>
      <xdr:spPr>
        <a:xfrm>
          <a:off x="9147810" y="4166235"/>
          <a:ext cx="75438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marL="0" indent="0" algn="ctr"/>
          <a:fld id="{C8D78F31-F3B3-49E5-91A7-9A9FE2B1D247}" type="TxLink">
            <a:rPr lang="en-US" sz="900" b="1" i="0" u="none" strike="noStrike">
              <a:solidFill>
                <a:schemeClr val="accent4">
                  <a:lumMod val="60000"/>
                  <a:lumOff val="40000"/>
                </a:schemeClr>
              </a:solidFill>
              <a:latin typeface="Calibri"/>
              <a:ea typeface="+mn-ea"/>
              <a:cs typeface="+mn-cs"/>
            </a:rPr>
            <a:pPr marL="0" indent="0" algn="ctr"/>
            <a:t>Transport (16.8%)</a:t>
          </a:fld>
          <a:endParaRPr lang="en-GB" sz="900" b="1" i="0" u="none" strike="noStrike">
            <a:solidFill>
              <a:schemeClr val="accent4">
                <a:lumMod val="60000"/>
                <a:lumOff val="40000"/>
              </a:schemeClr>
            </a:solidFill>
            <a:latin typeface="Calibri"/>
            <a:ea typeface="+mn-ea"/>
            <a:cs typeface="+mn-cs"/>
          </a:endParaRPr>
        </a:p>
      </xdr:txBody>
    </xdr:sp>
    <xdr:clientData/>
  </xdr:twoCellAnchor>
  <xdr:twoCellAnchor>
    <xdr:from>
      <xdr:col>18</xdr:col>
      <xdr:colOff>9525</xdr:colOff>
      <xdr:row>15</xdr:row>
      <xdr:rowOff>161925</xdr:rowOff>
    </xdr:from>
    <xdr:to>
      <xdr:col>19</xdr:col>
      <xdr:colOff>70485</xdr:colOff>
      <xdr:row>17</xdr:row>
      <xdr:rowOff>68580</xdr:rowOff>
    </xdr:to>
    <xdr:sp macro="" textlink="$U$16">
      <xdr:nvSpPr>
        <xdr:cNvPr id="28" name="TextBox 27"/>
        <xdr:cNvSpPr txBox="1"/>
      </xdr:nvSpPr>
      <xdr:spPr>
        <a:xfrm>
          <a:off x="8439150" y="3362325"/>
          <a:ext cx="518160" cy="306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marL="0" indent="0" algn="ctr"/>
          <a:fld id="{F1260871-C66B-4D55-AFC9-0D518517A725}" type="TxLink">
            <a:rPr lang="en-US" sz="900" b="1" i="0" u="none" strike="noStrike">
              <a:solidFill>
                <a:schemeClr val="tx1">
                  <a:lumMod val="50000"/>
                  <a:lumOff val="50000"/>
                </a:schemeClr>
              </a:solidFill>
              <a:latin typeface="Calibri"/>
              <a:ea typeface="+mn-ea"/>
              <a:cs typeface="+mn-cs"/>
            </a:rPr>
            <a:pPr marL="0" indent="0" algn="ctr"/>
            <a:t>VAT (12.7%)</a:t>
          </a:fld>
          <a:endParaRPr lang="en-GB" sz="900" b="1" i="0" u="none" strike="noStrike">
            <a:solidFill>
              <a:schemeClr val="tx1">
                <a:lumMod val="50000"/>
                <a:lumOff val="50000"/>
              </a:schemeClr>
            </a:solidFill>
            <a:latin typeface="Calibri"/>
            <a:ea typeface="+mn-ea"/>
            <a:cs typeface="+mn-cs"/>
          </a:endParaRPr>
        </a:p>
      </xdr:txBody>
    </xdr:sp>
    <xdr:clientData/>
  </xdr:twoCellAnchor>
  <xdr:twoCellAnchor>
    <xdr:from>
      <xdr:col>17</xdr:col>
      <xdr:colOff>409575</xdr:colOff>
      <xdr:row>10</xdr:row>
      <xdr:rowOff>102870</xdr:rowOff>
    </xdr:from>
    <xdr:to>
      <xdr:col>20</xdr:col>
      <xdr:colOff>150495</xdr:colOff>
      <xdr:row>12</xdr:row>
      <xdr:rowOff>19050</xdr:rowOff>
    </xdr:to>
    <xdr:sp macro="" textlink="$U$18">
      <xdr:nvSpPr>
        <xdr:cNvPr id="29" name="TextBox 28"/>
        <xdr:cNvSpPr txBox="1"/>
      </xdr:nvSpPr>
      <xdr:spPr>
        <a:xfrm>
          <a:off x="8382000" y="2303145"/>
          <a:ext cx="1112520" cy="316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marL="0" indent="0" algn="ctr"/>
          <a:fld id="{C9CE049A-2245-4771-B491-6B8982D45A3E}" type="TxLink">
            <a:rPr lang="en-US" sz="900" b="1" i="0" u="none" strike="noStrike">
              <a:solidFill>
                <a:schemeClr val="accent3">
                  <a:lumMod val="75000"/>
                </a:schemeClr>
              </a:solidFill>
              <a:latin typeface="Calibri"/>
              <a:ea typeface="+mn-ea"/>
              <a:cs typeface="+mn-cs"/>
            </a:rPr>
            <a:pPr marL="0" indent="0" algn="ctr"/>
            <a:t>Indirect Expenditure (23.8%)</a:t>
          </a:fld>
          <a:endParaRPr lang="en-GB" sz="900" b="1" i="0" u="none" strike="noStrike">
            <a:solidFill>
              <a:schemeClr val="accent3">
                <a:lumMod val="75000"/>
              </a:schemeClr>
            </a:solidFill>
            <a:latin typeface="Calibri"/>
            <a:ea typeface="+mn-ea"/>
            <a:cs typeface="+mn-cs"/>
          </a:endParaRPr>
        </a:p>
      </xdr:txBody>
    </xdr:sp>
    <xdr:clientData/>
  </xdr:twoCellAnchor>
  <xdr:twoCellAnchor>
    <xdr:from>
      <xdr:col>19</xdr:col>
      <xdr:colOff>57150</xdr:colOff>
      <xdr:row>7</xdr:row>
      <xdr:rowOff>68580</xdr:rowOff>
    </xdr:from>
    <xdr:to>
      <xdr:col>23</xdr:col>
      <xdr:colOff>411480</xdr:colOff>
      <xdr:row>9</xdr:row>
      <xdr:rowOff>66675</xdr:rowOff>
    </xdr:to>
    <xdr:sp macro="" textlink="$E$8">
      <xdr:nvSpPr>
        <xdr:cNvPr id="30" name="TextBox 19"/>
        <xdr:cNvSpPr txBox="1"/>
      </xdr:nvSpPr>
      <xdr:spPr>
        <a:xfrm>
          <a:off x="8943975" y="1668780"/>
          <a:ext cx="2183130" cy="39814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D7461CA4-CEF5-4F50-9148-3A5031C4F860}" type="TxLink">
            <a:rPr lang="en-US" sz="1000" b="1" i="0" u="none" strike="noStrike">
              <a:solidFill>
                <a:schemeClr val="accent1"/>
              </a:solidFill>
              <a:latin typeface="Calibri"/>
            </a:rPr>
            <a:pPr algn="ctr"/>
            <a:t>SECTORAL DISTRIBUTION OF ECONOMIC IMPACT - £M INCLUDING VAT IN HISTORIC PRICES </a:t>
          </a:fld>
          <a:endParaRPr lang="en-GB" sz="1000">
            <a:solidFill>
              <a:schemeClr val="accent1"/>
            </a:solidFill>
          </a:endParaRPr>
        </a:p>
      </xdr:txBody>
    </xdr:sp>
    <xdr:clientData/>
  </xdr:twoCellAnchor>
  <xdr:twoCellAnchor>
    <xdr:from>
      <xdr:col>20</xdr:col>
      <xdr:colOff>142875</xdr:colOff>
      <xdr:row>35</xdr:row>
      <xdr:rowOff>38100</xdr:rowOff>
    </xdr:from>
    <xdr:to>
      <xdr:col>21</xdr:col>
      <xdr:colOff>414719</xdr:colOff>
      <xdr:row>36</xdr:row>
      <xdr:rowOff>180307</xdr:rowOff>
    </xdr:to>
    <xdr:sp macro="" textlink="'SECTORAL ANALYSIS'!$U$28">
      <xdr:nvSpPr>
        <xdr:cNvPr id="32" name="TextBox 19"/>
        <xdr:cNvSpPr txBox="1"/>
      </xdr:nvSpPr>
      <xdr:spPr>
        <a:xfrm>
          <a:off x="9486900" y="7038975"/>
          <a:ext cx="729044" cy="34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337ADD4B-99B7-43DF-8F24-B7C7080E887D}" type="TxLink">
            <a:rPr lang="en-US" sz="900" b="1" i="0" u="none" strike="noStrike">
              <a:solidFill>
                <a:schemeClr val="tx2">
                  <a:lumMod val="60000"/>
                  <a:lumOff val="40000"/>
                </a:schemeClr>
              </a:solidFill>
              <a:latin typeface="Calibri"/>
              <a:ea typeface="+mn-ea"/>
              <a:cs typeface="+mn-cs"/>
            </a:rPr>
            <a:pPr marL="0" indent="0" algn="ctr"/>
            <a:t>Shopping (6.4%)</a:t>
          </a:fld>
          <a:endParaRPr lang="en-GB" sz="900" b="1" i="0" u="none" strike="noStrike">
            <a:solidFill>
              <a:schemeClr val="tx2">
                <a:lumMod val="60000"/>
                <a:lumOff val="40000"/>
              </a:schemeClr>
            </a:solidFill>
            <a:latin typeface="Calibri"/>
            <a:ea typeface="+mn-ea"/>
            <a:cs typeface="+mn-cs"/>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0.17392</cdr:x>
      <cdr:y>0.09882</cdr:y>
    </cdr:to>
    <cdr:sp macro="" textlink="'SECTORAL ANALYSIS'!$S$9">
      <cdr:nvSpPr>
        <cdr:cNvPr id="7" name="TextBox 19"/>
        <cdr:cNvSpPr txBox="1"/>
      </cdr:nvSpPr>
      <cdr:spPr>
        <a:xfrm xmlns:a="http://schemas.openxmlformats.org/drawingml/2006/main">
          <a:off x="0" y="0"/>
          <a:ext cx="471796" cy="271271"/>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31755073-5CF0-4C14-B7FD-03AB8E316933}" type="TxLink">
            <a:rPr lang="en-US" sz="1600" b="1" i="0" u="none" strike="noStrike">
              <a:solidFill>
                <a:schemeClr val="accent1"/>
              </a:solidFill>
              <a:latin typeface="Calibri"/>
            </a:rPr>
            <a:pPr/>
            <a:t>2013</a:t>
          </a:fld>
          <a:endParaRPr lang="en-GB" sz="1600">
            <a:solidFill>
              <a:schemeClr val="accent1"/>
            </a:solidFill>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0.31925</cdr:x>
      <cdr:y>0.14054</cdr:y>
    </cdr:from>
    <cdr:to>
      <cdr:x>0.71816</cdr:x>
      <cdr:y>0.26521</cdr:y>
    </cdr:to>
    <cdr:sp macro="" textlink="'SECTORAL ANALYSIS'!$U$25">
      <cdr:nvSpPr>
        <cdr:cNvPr id="7" name="TextBox 19"/>
        <cdr:cNvSpPr txBox="1"/>
      </cdr:nvSpPr>
      <cdr:spPr>
        <a:xfrm xmlns:a="http://schemas.openxmlformats.org/drawingml/2006/main">
          <a:off x="890363" y="396238"/>
          <a:ext cx="1112521" cy="3514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9EF65FCF-DA26-4878-944F-DA0E9B855524}" type="TxLink">
            <a:rPr lang="en-US" sz="900" b="1" i="0" u="none" strike="noStrike">
              <a:solidFill>
                <a:schemeClr val="tx2"/>
              </a:solidFill>
              <a:latin typeface="Calibri"/>
            </a:rPr>
            <a:pPr algn="ctr"/>
            <a:t>Accommodation (51.3%)</a:t>
          </a:fld>
          <a:endParaRPr lang="en-GB" sz="900" b="1">
            <a:solidFill>
              <a:schemeClr val="tx2"/>
            </a:solidFill>
          </a:endParaRPr>
        </a:p>
      </cdr:txBody>
    </cdr:sp>
  </cdr:relSizeAnchor>
  <cdr:relSizeAnchor xmlns:cdr="http://schemas.openxmlformats.org/drawingml/2006/chartDrawing">
    <cdr:from>
      <cdr:x>0.01366</cdr:x>
      <cdr:y>0.35045</cdr:y>
    </cdr:from>
    <cdr:to>
      <cdr:x>0.41257</cdr:x>
      <cdr:y>0.47512</cdr:y>
    </cdr:to>
    <cdr:sp macro="" textlink="'SECTORAL ANALYSIS'!$U$31">
      <cdr:nvSpPr>
        <cdr:cNvPr id="10" name="TextBox 19"/>
        <cdr:cNvSpPr txBox="1"/>
      </cdr:nvSpPr>
      <cdr:spPr>
        <a:xfrm xmlns:a="http://schemas.openxmlformats.org/drawingml/2006/main">
          <a:off x="38100" y="988072"/>
          <a:ext cx="1112528" cy="3514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DF3655E4-A77C-4F11-95A2-0FC45D176844}" type="TxLink">
            <a:rPr lang="en-US" sz="900" b="1" i="0" u="none" strike="noStrike">
              <a:solidFill>
                <a:schemeClr val="accent3">
                  <a:lumMod val="75000"/>
                </a:schemeClr>
              </a:solidFill>
              <a:latin typeface="Calibri"/>
            </a:rPr>
            <a:pPr algn="ctr"/>
            <a:t>Indirect Employment (14.7%)</a:t>
          </a:fld>
          <a:endParaRPr lang="en-GB" sz="900" b="1">
            <a:solidFill>
              <a:schemeClr val="accent3">
                <a:lumMod val="75000"/>
              </a:schemeClr>
            </a:solidFill>
          </a:endParaRPr>
        </a:p>
      </cdr:txBody>
    </cdr:sp>
  </cdr:relSizeAnchor>
  <cdr:relSizeAnchor xmlns:cdr="http://schemas.openxmlformats.org/drawingml/2006/chartDrawing">
    <cdr:from>
      <cdr:x>0.6833</cdr:x>
      <cdr:y>0.34505</cdr:y>
    </cdr:from>
    <cdr:to>
      <cdr:x>1</cdr:x>
      <cdr:y>0.46972</cdr:y>
    </cdr:to>
    <cdr:sp macro="" textlink="'SECTORAL ANALYSIS'!$U$26">
      <cdr:nvSpPr>
        <cdr:cNvPr id="11" name="TextBox 19"/>
        <cdr:cNvSpPr txBox="1"/>
      </cdr:nvSpPr>
      <cdr:spPr>
        <a:xfrm xmlns:a="http://schemas.openxmlformats.org/drawingml/2006/main">
          <a:off x="1905669" y="972834"/>
          <a:ext cx="883251" cy="3514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8A773207-B0CD-4D54-A927-3072FECD4FCD}" type="TxLink">
            <a:rPr lang="en-US" sz="900" b="1" i="0" u="none" strike="noStrike">
              <a:solidFill>
                <a:schemeClr val="accent2"/>
              </a:solidFill>
              <a:latin typeface="Calibri"/>
            </a:rPr>
            <a:pPr algn="ctr"/>
            <a:t>Food &amp; Drink (11.4%)</a:t>
          </a:fld>
          <a:endParaRPr lang="en-GB" sz="900" b="1">
            <a:solidFill>
              <a:schemeClr val="accent2"/>
            </a:solidFill>
          </a:endParaRPr>
        </a:p>
      </cdr:txBody>
    </cdr:sp>
  </cdr:relSizeAnchor>
  <cdr:relSizeAnchor xmlns:cdr="http://schemas.openxmlformats.org/drawingml/2006/chartDrawing">
    <cdr:from>
      <cdr:x>0.73521</cdr:x>
      <cdr:y>0.82342</cdr:y>
    </cdr:from>
    <cdr:to>
      <cdr:x>0.98907</cdr:x>
      <cdr:y>0.9481</cdr:y>
    </cdr:to>
    <cdr:sp macro="" textlink="'SECTORAL ANALYSIS'!$U$27">
      <cdr:nvSpPr>
        <cdr:cNvPr id="12" name="TextBox 19"/>
        <cdr:cNvSpPr txBox="1"/>
      </cdr:nvSpPr>
      <cdr:spPr>
        <a:xfrm xmlns:a="http://schemas.openxmlformats.org/drawingml/2006/main">
          <a:off x="2050445" y="2321553"/>
          <a:ext cx="707995" cy="3515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B07C63FB-7C85-4141-885A-D45A05D65C67}" type="TxLink">
            <a:rPr lang="en-US" sz="900" b="1" i="0" u="none" strike="noStrike">
              <a:solidFill>
                <a:schemeClr val="accent6">
                  <a:lumMod val="75000"/>
                </a:schemeClr>
              </a:solidFill>
              <a:latin typeface="Calibri"/>
            </a:rPr>
            <a:pPr algn="ctr"/>
            <a:t>Recreation (5.0%)</a:t>
          </a:fld>
          <a:endParaRPr lang="en-GB" sz="900" b="1">
            <a:solidFill>
              <a:schemeClr val="accent6">
                <a:lumMod val="75000"/>
              </a:schemeClr>
            </a:solidFill>
          </a:endParaRPr>
        </a:p>
      </cdr:txBody>
    </cdr:sp>
  </cdr:relSizeAnchor>
  <cdr:relSizeAnchor xmlns:cdr="http://schemas.openxmlformats.org/drawingml/2006/chartDrawing">
    <cdr:from>
      <cdr:x>0</cdr:x>
      <cdr:y>0.74526</cdr:y>
    </cdr:from>
    <cdr:to>
      <cdr:x>0.26875</cdr:x>
      <cdr:y>0.86994</cdr:y>
    </cdr:to>
    <cdr:sp macro="" textlink="'SECTORAL ANALYSIS'!$U$29">
      <cdr:nvSpPr>
        <cdr:cNvPr id="14" name="TextBox 19"/>
        <cdr:cNvSpPr txBox="1"/>
      </cdr:nvSpPr>
      <cdr:spPr>
        <a:xfrm xmlns:a="http://schemas.openxmlformats.org/drawingml/2006/main">
          <a:off x="0" y="2045828"/>
          <a:ext cx="729044" cy="3422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606975F-E2E3-4AF7-9C7B-D4427408313B}" type="TxLink">
            <a:rPr lang="en-US" sz="900" b="1" i="0" u="none" strike="noStrike">
              <a:solidFill>
                <a:schemeClr val="accent4">
                  <a:lumMod val="60000"/>
                  <a:lumOff val="40000"/>
                </a:schemeClr>
              </a:solidFill>
              <a:latin typeface="Calibri"/>
            </a:rPr>
            <a:pPr algn="ctr"/>
            <a:t>Transport (11.2%)</a:t>
          </a:fld>
          <a:endParaRPr lang="en-GB" sz="900" b="1">
            <a:solidFill>
              <a:schemeClr val="accent4">
                <a:lumMod val="60000"/>
                <a:lumOff val="40000"/>
              </a:schemeClr>
            </a:solidFill>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editAs="oneCell">
    <xdr:from>
      <xdr:col>22</xdr:col>
      <xdr:colOff>320041</xdr:colOff>
      <xdr:row>3</xdr:row>
      <xdr:rowOff>45721</xdr:rowOff>
    </xdr:from>
    <xdr:to>
      <xdr:col>23</xdr:col>
      <xdr:colOff>398146</xdr:colOff>
      <xdr:row>4</xdr:row>
      <xdr:rowOff>299165</xdr:rowOff>
    </xdr:to>
    <xdr:pic>
      <xdr:nvPicPr>
        <xdr:cNvPr id="7" name="Picture 6">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6</xdr:col>
      <xdr:colOff>220980</xdr:colOff>
      <xdr:row>3</xdr:row>
      <xdr:rowOff>160020</xdr:rowOff>
    </xdr:from>
    <xdr:to>
      <xdr:col>21</xdr:col>
      <xdr:colOff>167640</xdr:colOff>
      <xdr:row>4</xdr:row>
      <xdr:rowOff>129540</xdr:rowOff>
    </xdr:to>
    <xdr:sp macro="" textlink="">
      <xdr:nvSpPr>
        <xdr:cNvPr id="24" name="Rectangle 23"/>
        <xdr:cNvSpPr/>
      </xdr:nvSpPr>
      <xdr:spPr>
        <a:xfrm>
          <a:off x="3253740" y="7010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21</xdr:col>
      <xdr:colOff>220980</xdr:colOff>
      <xdr:row>3</xdr:row>
      <xdr:rowOff>243840</xdr:rowOff>
    </xdr:from>
    <xdr:to>
      <xdr:col>22</xdr:col>
      <xdr:colOff>243840</xdr:colOff>
      <xdr:row>4</xdr:row>
      <xdr:rowOff>60960</xdr:rowOff>
    </xdr:to>
    <xdr:sp macro="" textlink="">
      <xdr:nvSpPr>
        <xdr:cNvPr id="25" name="Right Arrow 24"/>
        <xdr:cNvSpPr/>
      </xdr:nvSpPr>
      <xdr:spPr>
        <a:xfrm>
          <a:off x="10340340" y="784860"/>
          <a:ext cx="495300" cy="152400"/>
        </a:xfrm>
        <a:prstGeom prst="rightArrow">
          <a:avLst>
            <a:gd name="adj1" fmla="val 50000"/>
            <a:gd name="adj2" fmla="val 47183"/>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190500</xdr:colOff>
      <xdr:row>5</xdr:row>
      <xdr:rowOff>53340</xdr:rowOff>
    </xdr:from>
    <xdr:to>
      <xdr:col>23</xdr:col>
      <xdr:colOff>56520</xdr:colOff>
      <xdr:row>11</xdr:row>
      <xdr:rowOff>91440</xdr:rowOff>
    </xdr:to>
    <xdr:grpSp>
      <xdr:nvGrpSpPr>
        <xdr:cNvPr id="13" name="Group 12"/>
        <xdr:cNvGrpSpPr/>
      </xdr:nvGrpSpPr>
      <xdr:grpSpPr>
        <a:xfrm>
          <a:off x="1685925" y="1253490"/>
          <a:ext cx="9772020" cy="1238250"/>
          <a:chOff x="1531620" y="1264920"/>
          <a:chExt cx="9589140" cy="1272540"/>
        </a:xfrm>
      </xdr:grpSpPr>
      <xdr:grpSp>
        <xdr:nvGrpSpPr>
          <xdr:cNvPr id="6" name="Group 5"/>
          <xdr:cNvGrpSpPr/>
        </xdr:nvGrpSpPr>
        <xdr:grpSpPr>
          <a:xfrm>
            <a:off x="2766060" y="1264920"/>
            <a:ext cx="8354700" cy="1219200"/>
            <a:chOff x="6103620" y="1242060"/>
            <a:chExt cx="5040000" cy="1219200"/>
          </a:xfrm>
          <a:effectLst/>
        </xdr:grpSpPr>
        <xdr:sp macro="" textlink="REP.subzone">
          <xdr:nvSpPr>
            <xdr:cNvPr id="11" name="Rectangle 10"/>
            <xdr:cNvSpPr/>
          </xdr:nvSpPr>
          <xdr:spPr>
            <a:xfrm>
              <a:off x="6103620" y="2209800"/>
              <a:ext cx="5033485" cy="251460"/>
            </a:xfrm>
            <a:prstGeom prst="rect">
              <a:avLst/>
            </a:prstGeom>
            <a:gradFill>
              <a:gsLst>
                <a:gs pos="23000">
                  <a:schemeClr val="accent3">
                    <a:lumMod val="50000"/>
                  </a:schemeClr>
                </a:gs>
                <a:gs pos="100000">
                  <a:srgbClr val="00B050"/>
                </a:gs>
                <a:gs pos="0">
                  <a:schemeClr val="bg1"/>
                </a:gs>
              </a:gsLst>
              <a:lin ang="0" scaled="1"/>
            </a:gradFill>
            <a:ln w="349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r"/>
              <a:fld id="{0776199B-D5C8-46FB-BDF0-CB73B3A411C1}" type="TxLink">
                <a:rPr lang="en-US" sz="1200" b="1" i="1" u="none" strike="noStrike">
                  <a:solidFill>
                    <a:schemeClr val="bg1"/>
                  </a:solidFill>
                  <a:latin typeface="Calibri"/>
                  <a:ea typeface="+mn-ea"/>
                  <a:cs typeface="+mn-cs"/>
                </a:rPr>
                <a:pPr marL="0" indent="0" algn="r"/>
                <a:t> </a:t>
              </a:fld>
              <a:endParaRPr lang="en-GB" sz="1200" b="1" i="1" u="none" strike="noStrike">
                <a:solidFill>
                  <a:schemeClr val="bg1"/>
                </a:solidFill>
                <a:latin typeface="Calibri"/>
                <a:ea typeface="+mn-ea"/>
                <a:cs typeface="+mn-cs"/>
              </a:endParaRPr>
            </a:p>
          </xdr:txBody>
        </xdr:sp>
        <xdr:sp macro="" textlink="REP.status">
          <xdr:nvSpPr>
            <xdr:cNvPr id="12" name="Rectangle 11"/>
            <xdr:cNvSpPr/>
          </xdr:nvSpPr>
          <xdr:spPr>
            <a:xfrm>
              <a:off x="6103620" y="1569720"/>
              <a:ext cx="5040000" cy="198120"/>
            </a:xfrm>
            <a:prstGeom prst="rect">
              <a:avLst/>
            </a:prstGeom>
            <a:gradFill>
              <a:gsLst>
                <a:gs pos="42834">
                  <a:schemeClr val="tx1">
                    <a:lumMod val="50000"/>
                    <a:lumOff val="50000"/>
                  </a:schemeClr>
                </a:gs>
                <a:gs pos="100000">
                  <a:schemeClr val="tx1">
                    <a:lumMod val="65000"/>
                    <a:lumOff val="35000"/>
                  </a:schemeClr>
                </a:gs>
                <a:gs pos="0">
                  <a:schemeClr val="bg1"/>
                </a:gs>
              </a:gsLst>
              <a:lin ang="0" scaled="1"/>
            </a:gradFill>
            <a:ln w="349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D4656592-28D1-4D60-98C6-AA2C8DB144CE}" type="TxLink">
                <a:rPr lang="en-US" sz="1000" b="1" i="0" u="none" strike="noStrike">
                  <a:solidFill>
                    <a:schemeClr val="bg1"/>
                  </a:solidFill>
                  <a:latin typeface="Calibri"/>
                </a:rPr>
                <a:pPr algn="r"/>
                <a:t>Final</a:t>
              </a:fld>
              <a:endParaRPr lang="en-GB" sz="1200" b="1" i="1">
                <a:solidFill>
                  <a:schemeClr val="bg1"/>
                </a:solidFill>
              </a:endParaRPr>
            </a:p>
          </xdr:txBody>
        </xdr:sp>
        <xdr:sp macro="" textlink="REP.authority">
          <xdr:nvSpPr>
            <xdr:cNvPr id="10" name="Rectangle 9"/>
            <xdr:cNvSpPr/>
          </xdr:nvSpPr>
          <xdr:spPr>
            <a:xfrm>
              <a:off x="6103620" y="1790700"/>
              <a:ext cx="5033485" cy="419100"/>
            </a:xfrm>
            <a:prstGeom prst="rect">
              <a:avLst/>
            </a:prstGeom>
            <a:gradFill>
              <a:gsLst>
                <a:gs pos="23000">
                  <a:schemeClr val="accent3">
                    <a:lumMod val="50000"/>
                  </a:schemeClr>
                </a:gs>
                <a:gs pos="100000">
                  <a:srgbClr val="00B050"/>
                </a:gs>
                <a:gs pos="0">
                  <a:schemeClr val="bg1"/>
                </a:gs>
              </a:gsLst>
              <a:lin ang="0" scaled="1"/>
            </a:gradFill>
            <a:ln w="349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0E26FCAA-BB34-4B88-8DD5-3D1AD87C7D6C}" type="TxLink">
                <a:rPr lang="en-US" sz="1600" b="1" i="0" u="none" strike="noStrike">
                  <a:solidFill>
                    <a:schemeClr val="bg1"/>
                  </a:solidFill>
                  <a:latin typeface="Calibri"/>
                </a:rPr>
                <a:pPr algn="r"/>
                <a:t>Moray HIE</a:t>
              </a:fld>
              <a:endParaRPr lang="en-GB" sz="1600" b="1">
                <a:solidFill>
                  <a:schemeClr val="bg1"/>
                </a:solidFill>
              </a:endParaRPr>
            </a:p>
          </xdr:txBody>
        </xdr:sp>
        <xdr:sp macro="" textlink="REP.title1">
          <xdr:nvSpPr>
            <xdr:cNvPr id="2" name="Rectangle 1"/>
            <xdr:cNvSpPr/>
          </xdr:nvSpPr>
          <xdr:spPr>
            <a:xfrm>
              <a:off x="6103620" y="1242060"/>
              <a:ext cx="5040000" cy="304800"/>
            </a:xfrm>
            <a:prstGeom prst="rect">
              <a:avLst/>
            </a:prstGeom>
            <a:gradFill>
              <a:gsLst>
                <a:gs pos="15000">
                  <a:schemeClr val="accent1"/>
                </a:gs>
                <a:gs pos="100000">
                  <a:schemeClr val="accent1">
                    <a:lumMod val="50000"/>
                  </a:schemeClr>
                </a:gs>
                <a:gs pos="0">
                  <a:schemeClr val="bg1"/>
                </a:gs>
              </a:gsLst>
              <a:lin ang="0" scaled="1"/>
            </a:gradFill>
            <a:ln w="349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00586C74-0256-4893-90E2-92E700CA2734}" type="TxLink">
                <a:rPr lang="en-US" sz="1600" b="1" i="0" u="none" strike="noStrike">
                  <a:solidFill>
                    <a:schemeClr val="bg1"/>
                  </a:solidFill>
                  <a:latin typeface="Calibri"/>
                </a:rPr>
                <a:pPr algn="r"/>
                <a:t>STEAM FINAL TREND REPORT FOR 2009-2013</a:t>
              </a:fld>
              <a:endParaRPr lang="en-GB" sz="1600" b="1">
                <a:solidFill>
                  <a:schemeClr val="bg1"/>
                </a:solidFill>
              </a:endParaRPr>
            </a:p>
          </xdr:txBody>
        </xdr:sp>
      </xdr:grpSp>
      <xdr:sp macro="" textlink="">
        <xdr:nvSpPr>
          <xdr:cNvPr id="8" name="Rectangle 7"/>
          <xdr:cNvSpPr/>
        </xdr:nvSpPr>
        <xdr:spPr>
          <a:xfrm>
            <a:off x="1531620" y="1318260"/>
            <a:ext cx="969264" cy="1219200"/>
          </a:xfrm>
          <a:prstGeom prst="rect">
            <a:avLst/>
          </a:prstGeom>
          <a:blipFill dpi="0" rotWithShape="1">
            <a:blip xmlns:r="http://schemas.openxmlformats.org/officeDocument/2006/relationships" r:embed="rId4"/>
            <a:srcRect/>
            <a:stretch>
              <a:fillRect/>
            </a:stretch>
          </a:blipFill>
          <a:ln>
            <a:no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6" name="Rectangle 5"/>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7" name="Bent Arrow 6"/>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8" name="TextBox 7"/>
        <xdr:cNvSpPr txBox="1"/>
      </xdr:nvSpPr>
      <xdr:spPr>
        <a:xfrm>
          <a:off x="88125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8</xdr:col>
      <xdr:colOff>19051</xdr:colOff>
      <xdr:row>7</xdr:row>
      <xdr:rowOff>76200</xdr:rowOff>
    </xdr:from>
    <xdr:to>
      <xdr:col>13</xdr:col>
      <xdr:colOff>38176</xdr:colOff>
      <xdr:row>12</xdr:row>
      <xdr:rowOff>47625</xdr:rowOff>
    </xdr:to>
    <xdr:grpSp>
      <xdr:nvGrpSpPr>
        <xdr:cNvPr id="25" name="Group 24"/>
        <xdr:cNvGrpSpPr/>
      </xdr:nvGrpSpPr>
      <xdr:grpSpPr>
        <a:xfrm>
          <a:off x="3933826" y="1676400"/>
          <a:ext cx="2448000" cy="971550"/>
          <a:chOff x="1381126" y="1666875"/>
          <a:chExt cx="2390774" cy="971550"/>
        </a:xfrm>
      </xdr:grpSpPr>
      <xdr:sp macro="" textlink="">
        <xdr:nvSpPr>
          <xdr:cNvPr id="22" name="Rectangle 21"/>
          <xdr:cNvSpPr/>
        </xdr:nvSpPr>
        <xdr:spPr>
          <a:xfrm>
            <a:off x="1381126" y="1666875"/>
            <a:ext cx="2390774" cy="971550"/>
          </a:xfrm>
          <a:prstGeom prst="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USER GUIDE</a:t>
            </a:r>
          </a:p>
        </xdr:txBody>
      </xdr:sp>
      <xdr:pic>
        <xdr:nvPicPr>
          <xdr:cNvPr id="21" name="Picture 20"/>
          <xdr:cNvPicPr>
            <a:picLocks noChangeAspect="1" noChangeArrowheads="1"/>
          </xdr:cNvPicPr>
        </xdr:nvPicPr>
        <xdr:blipFill>
          <a:blip xmlns:r="http://schemas.openxmlformats.org/officeDocument/2006/relationships" r:embed="rId4"/>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24" name="Rectangle 23"/>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3</a:t>
            </a:r>
          </a:p>
        </xdr:txBody>
      </xdr:sp>
    </xdr:grpSp>
    <xdr:clientData/>
  </xdr:twoCellAnchor>
  <xdr:twoCellAnchor>
    <xdr:from>
      <xdr:col>13</xdr:col>
      <xdr:colOff>219076</xdr:colOff>
      <xdr:row>7</xdr:row>
      <xdr:rowOff>76200</xdr:rowOff>
    </xdr:from>
    <xdr:to>
      <xdr:col>18</xdr:col>
      <xdr:colOff>238201</xdr:colOff>
      <xdr:row>12</xdr:row>
      <xdr:rowOff>47625</xdr:rowOff>
    </xdr:to>
    <xdr:grpSp>
      <xdr:nvGrpSpPr>
        <xdr:cNvPr id="26" name="Group 25"/>
        <xdr:cNvGrpSpPr/>
      </xdr:nvGrpSpPr>
      <xdr:grpSpPr>
        <a:xfrm>
          <a:off x="6562726" y="1676400"/>
          <a:ext cx="2448000" cy="971550"/>
          <a:chOff x="1381126" y="1666875"/>
          <a:chExt cx="2390774" cy="971550"/>
        </a:xfrm>
      </xdr:grpSpPr>
      <xdr:sp macro="" textlink="">
        <xdr:nvSpPr>
          <xdr:cNvPr id="27" name="Rectangle 26"/>
          <xdr:cNvSpPr/>
        </xdr:nvSpPr>
        <xdr:spPr>
          <a:xfrm>
            <a:off x="1381126" y="1666875"/>
            <a:ext cx="2390774" cy="9715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ysClr val="windowText" lastClr="000000"/>
                </a:solidFill>
              </a:rPr>
              <a:t>COMPARATIVE HEADLINES</a:t>
            </a:r>
          </a:p>
        </xdr:txBody>
      </xdr:sp>
      <xdr:pic>
        <xdr:nvPicPr>
          <xdr:cNvPr id="28" name="Picture 27"/>
          <xdr:cNvPicPr>
            <a:picLocks noChangeAspect="1" noChangeArrowheads="1"/>
          </xdr:cNvPicPr>
        </xdr:nvPicPr>
        <xdr:blipFill>
          <a:blip xmlns:r="http://schemas.openxmlformats.org/officeDocument/2006/relationships" r:embed="rId5"/>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29" name="Rectangle 28"/>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4</a:t>
            </a:r>
          </a:p>
        </xdr:txBody>
      </xdr:sp>
    </xdr:grpSp>
    <xdr:clientData/>
  </xdr:twoCellAnchor>
  <xdr:twoCellAnchor>
    <xdr:from>
      <xdr:col>18</xdr:col>
      <xdr:colOff>447676</xdr:colOff>
      <xdr:row>7</xdr:row>
      <xdr:rowOff>76200</xdr:rowOff>
    </xdr:from>
    <xdr:to>
      <xdr:col>23</xdr:col>
      <xdr:colOff>466801</xdr:colOff>
      <xdr:row>12</xdr:row>
      <xdr:rowOff>47625</xdr:rowOff>
    </xdr:to>
    <xdr:grpSp>
      <xdr:nvGrpSpPr>
        <xdr:cNvPr id="30" name="Group 29"/>
        <xdr:cNvGrpSpPr/>
      </xdr:nvGrpSpPr>
      <xdr:grpSpPr>
        <a:xfrm>
          <a:off x="9220201" y="1676400"/>
          <a:ext cx="2448000" cy="971550"/>
          <a:chOff x="1381126" y="1666875"/>
          <a:chExt cx="2390774" cy="971550"/>
        </a:xfrm>
      </xdr:grpSpPr>
      <xdr:sp macro="" textlink="">
        <xdr:nvSpPr>
          <xdr:cNvPr id="31" name="Rectangle 30"/>
          <xdr:cNvSpPr/>
        </xdr:nvSpPr>
        <xdr:spPr>
          <a:xfrm>
            <a:off x="1381126" y="1666875"/>
            <a:ext cx="2390774" cy="971550"/>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KEY MEASURES</a:t>
            </a:r>
          </a:p>
        </xdr:txBody>
      </xdr:sp>
      <xdr:pic>
        <xdr:nvPicPr>
          <xdr:cNvPr id="32" name="Picture 31"/>
          <xdr:cNvPicPr>
            <a:picLocks noChangeAspect="1" noChangeArrowheads="1"/>
          </xdr:cNvPicPr>
        </xdr:nvPicPr>
        <xdr:blipFill>
          <a:blip xmlns:r="http://schemas.openxmlformats.org/officeDocument/2006/relationships" r:embed="rId6"/>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33" name="Rectangle 32"/>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5-11</a:t>
            </a:r>
          </a:p>
        </xdr:txBody>
      </xdr:sp>
    </xdr:grpSp>
    <xdr:clientData/>
  </xdr:twoCellAnchor>
  <xdr:twoCellAnchor>
    <xdr:from>
      <xdr:col>8</xdr:col>
      <xdr:colOff>19050</xdr:colOff>
      <xdr:row>24</xdr:row>
      <xdr:rowOff>114300</xdr:rowOff>
    </xdr:from>
    <xdr:to>
      <xdr:col>13</xdr:col>
      <xdr:colOff>38175</xdr:colOff>
      <xdr:row>29</xdr:row>
      <xdr:rowOff>85725</xdr:rowOff>
    </xdr:to>
    <xdr:grpSp>
      <xdr:nvGrpSpPr>
        <xdr:cNvPr id="72" name="Group 71"/>
        <xdr:cNvGrpSpPr/>
      </xdr:nvGrpSpPr>
      <xdr:grpSpPr>
        <a:xfrm>
          <a:off x="3933825" y="5114925"/>
          <a:ext cx="2448000" cy="971550"/>
          <a:chOff x="1381126" y="1666875"/>
          <a:chExt cx="2390774" cy="971550"/>
        </a:xfrm>
      </xdr:grpSpPr>
      <xdr:sp macro="" textlink="">
        <xdr:nvSpPr>
          <xdr:cNvPr id="73" name="Rectangle 72"/>
          <xdr:cNvSpPr/>
        </xdr:nvSpPr>
        <xdr:spPr>
          <a:xfrm>
            <a:off x="1381126" y="1666875"/>
            <a:ext cx="2390774" cy="971550"/>
          </a:xfrm>
          <a:prstGeom prst="rect">
            <a:avLst/>
          </a:prstGeom>
          <a:solidFill>
            <a:schemeClr val="accent3">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ACCOMMODATION</a:t>
            </a:r>
            <a:r>
              <a:rPr lang="en-GB" sz="1000" b="1" baseline="0">
                <a:solidFill>
                  <a:schemeClr val="bg1"/>
                </a:solidFill>
              </a:rPr>
              <a:t> SUPPLY</a:t>
            </a:r>
            <a:endParaRPr lang="en-GB" sz="1000" b="1">
              <a:solidFill>
                <a:schemeClr val="bg1"/>
              </a:solidFill>
            </a:endParaRPr>
          </a:p>
        </xdr:txBody>
      </xdr:sp>
      <xdr:pic>
        <xdr:nvPicPr>
          <xdr:cNvPr id="74" name="Picture 73"/>
          <xdr:cNvPicPr>
            <a:picLocks noChangeAspect="1" noChangeArrowheads="1"/>
          </xdr:cNvPicPr>
        </xdr:nvPicPr>
        <xdr:blipFill>
          <a:blip xmlns:r="http://schemas.openxmlformats.org/officeDocument/2006/relationships" r:embed="rId7"/>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75" name="Rectangle 74"/>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44</a:t>
            </a:r>
          </a:p>
        </xdr:txBody>
      </xdr:sp>
    </xdr:grpSp>
    <xdr:clientData/>
  </xdr:twoCellAnchor>
  <xdr:twoCellAnchor>
    <xdr:from>
      <xdr:col>4</xdr:col>
      <xdr:colOff>19051</xdr:colOff>
      <xdr:row>7</xdr:row>
      <xdr:rowOff>76201</xdr:rowOff>
    </xdr:from>
    <xdr:to>
      <xdr:col>7</xdr:col>
      <xdr:colOff>333451</xdr:colOff>
      <xdr:row>12</xdr:row>
      <xdr:rowOff>47626</xdr:rowOff>
    </xdr:to>
    <xdr:grpSp>
      <xdr:nvGrpSpPr>
        <xdr:cNvPr id="88" name="Group 87"/>
        <xdr:cNvGrpSpPr/>
      </xdr:nvGrpSpPr>
      <xdr:grpSpPr>
        <a:xfrm>
          <a:off x="1314451" y="1676401"/>
          <a:ext cx="2448000" cy="971550"/>
          <a:chOff x="1381126" y="1666875"/>
          <a:chExt cx="2390774" cy="971550"/>
        </a:xfrm>
      </xdr:grpSpPr>
      <xdr:sp macro="" textlink="">
        <xdr:nvSpPr>
          <xdr:cNvPr id="89" name="Rectangle 88"/>
          <xdr:cNvSpPr/>
        </xdr:nvSpPr>
        <xdr:spPr>
          <a:xfrm>
            <a:off x="1381126" y="1666875"/>
            <a:ext cx="2390774" cy="971550"/>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REPORT SECTIONS</a:t>
            </a:r>
          </a:p>
        </xdr:txBody>
      </xdr:sp>
      <xdr:pic>
        <xdr:nvPicPr>
          <xdr:cNvPr id="90" name="Picture 89"/>
          <xdr:cNvPicPr>
            <a:picLocks noChangeAspect="1" noChangeArrowheads="1"/>
            <a:extLst/>
          </xdr:cNvPicPr>
        </xdr:nvPicPr>
        <xdr:blipFill>
          <a:blip xmlns:r="http://schemas.openxmlformats.org/officeDocument/2006/relationships" r:embed="rId8"/>
          <a:srcRect/>
          <a:stretch>
            <a:fillRect/>
          </a:stretch>
        </xdr:blipFill>
        <xdr:spPr bwMode="auto">
          <a:xfrm>
            <a:off x="1438275" y="1905002"/>
            <a:ext cx="1095375" cy="675080"/>
          </a:xfrm>
          <a:prstGeom prst="rect">
            <a:avLst/>
          </a:prstGeom>
          <a:noFill/>
          <a:ln w="25400">
            <a:noFill/>
            <a:miter lim="800000"/>
            <a:headEnd/>
            <a:tailEnd/>
          </a:ln>
        </xdr:spPr>
      </xdr:pic>
      <xdr:sp macro="" textlink="">
        <xdr:nvSpPr>
          <xdr:cNvPr id="91" name="Rectangle 90"/>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Page</a:t>
            </a:r>
          </a:p>
        </xdr:txBody>
      </xdr:sp>
    </xdr:grpSp>
    <xdr:clientData/>
  </xdr:twoCellAnchor>
  <xdr:twoCellAnchor>
    <xdr:from>
      <xdr:col>13</xdr:col>
      <xdr:colOff>209550</xdr:colOff>
      <xdr:row>13</xdr:row>
      <xdr:rowOff>19050</xdr:rowOff>
    </xdr:from>
    <xdr:to>
      <xdr:col>18</xdr:col>
      <xdr:colOff>228675</xdr:colOff>
      <xdr:row>17</xdr:row>
      <xdr:rowOff>190500</xdr:rowOff>
    </xdr:to>
    <xdr:grpSp>
      <xdr:nvGrpSpPr>
        <xdr:cNvPr id="92" name="Group 91"/>
        <xdr:cNvGrpSpPr/>
      </xdr:nvGrpSpPr>
      <xdr:grpSpPr>
        <a:xfrm>
          <a:off x="6553200" y="2819400"/>
          <a:ext cx="2448000" cy="971550"/>
          <a:chOff x="1381126" y="1666875"/>
          <a:chExt cx="2390774" cy="971550"/>
        </a:xfrm>
      </xdr:grpSpPr>
      <xdr:sp macro="" textlink="">
        <xdr:nvSpPr>
          <xdr:cNvPr id="93" name="Rectangle 92"/>
          <xdr:cNvSpPr/>
        </xdr:nvSpPr>
        <xdr:spPr>
          <a:xfrm>
            <a:off x="1381126" y="1666875"/>
            <a:ext cx="2390774" cy="971550"/>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DISTRIBUTION OF IMPACT:</a:t>
            </a:r>
            <a:r>
              <a:rPr lang="en-GB" sz="1000" b="1" baseline="0"/>
              <a:t> </a:t>
            </a:r>
            <a:r>
              <a:rPr lang="en-GB" sz="1000" b="1" i="1" baseline="0"/>
              <a:t>by Month</a:t>
            </a:r>
            <a:endParaRPr lang="en-GB" sz="1000" b="1" i="1"/>
          </a:p>
        </xdr:txBody>
      </xdr:sp>
      <xdr:pic>
        <xdr:nvPicPr>
          <xdr:cNvPr id="94" name="Picture 93"/>
          <xdr:cNvPicPr>
            <a:picLocks noChangeAspect="1" noChangeArrowheads="1"/>
          </xdr:cNvPicPr>
        </xdr:nvPicPr>
        <xdr:blipFill>
          <a:blip xmlns:r="http://schemas.openxmlformats.org/officeDocument/2006/relationships" r:embed="rId9"/>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95" name="Rectangle 94"/>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14</a:t>
            </a:r>
          </a:p>
        </xdr:txBody>
      </xdr:sp>
    </xdr:grpSp>
    <xdr:clientData/>
  </xdr:twoCellAnchor>
  <xdr:twoCellAnchor>
    <xdr:from>
      <xdr:col>18</xdr:col>
      <xdr:colOff>438150</xdr:colOff>
      <xdr:row>13</xdr:row>
      <xdr:rowOff>19050</xdr:rowOff>
    </xdr:from>
    <xdr:to>
      <xdr:col>23</xdr:col>
      <xdr:colOff>457275</xdr:colOff>
      <xdr:row>17</xdr:row>
      <xdr:rowOff>190500</xdr:rowOff>
    </xdr:to>
    <xdr:grpSp>
      <xdr:nvGrpSpPr>
        <xdr:cNvPr id="96" name="Group 95"/>
        <xdr:cNvGrpSpPr/>
      </xdr:nvGrpSpPr>
      <xdr:grpSpPr>
        <a:xfrm>
          <a:off x="9210675" y="2819400"/>
          <a:ext cx="2448000" cy="971550"/>
          <a:chOff x="1381126" y="1666875"/>
          <a:chExt cx="2390774" cy="971550"/>
        </a:xfrm>
      </xdr:grpSpPr>
      <xdr:sp macro="" textlink="">
        <xdr:nvSpPr>
          <xdr:cNvPr id="97" name="Rectangle 96"/>
          <xdr:cNvSpPr/>
        </xdr:nvSpPr>
        <xdr:spPr>
          <a:xfrm>
            <a:off x="1381126" y="1666875"/>
            <a:ext cx="2390774" cy="971550"/>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DISTRIBUTION OF IMPACT:</a:t>
            </a:r>
            <a:r>
              <a:rPr lang="en-GB" sz="1000" b="1" baseline="0">
                <a:solidFill>
                  <a:schemeClr val="bg1"/>
                </a:solidFill>
              </a:rPr>
              <a:t> </a:t>
            </a:r>
            <a:r>
              <a:rPr lang="en-GB" sz="1000" b="1" i="1" baseline="0">
                <a:solidFill>
                  <a:schemeClr val="bg1"/>
                </a:solidFill>
              </a:rPr>
              <a:t>by Sector</a:t>
            </a:r>
            <a:endParaRPr lang="en-GB" sz="1000" b="1">
              <a:solidFill>
                <a:schemeClr val="bg1"/>
              </a:solidFill>
            </a:endParaRPr>
          </a:p>
        </xdr:txBody>
      </xdr:sp>
      <xdr:pic>
        <xdr:nvPicPr>
          <xdr:cNvPr id="98" name="Picture 97"/>
          <xdr:cNvPicPr>
            <a:picLocks noChangeAspect="1" noChangeArrowheads="1"/>
          </xdr:cNvPicPr>
        </xdr:nvPicPr>
        <xdr:blipFill>
          <a:blip xmlns:r="http://schemas.openxmlformats.org/officeDocument/2006/relationships" r:embed="rId10"/>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99" name="Rectangle 98"/>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15</a:t>
            </a:r>
          </a:p>
        </xdr:txBody>
      </xdr:sp>
    </xdr:grpSp>
    <xdr:clientData/>
  </xdr:twoCellAnchor>
  <xdr:twoCellAnchor>
    <xdr:from>
      <xdr:col>8</xdr:col>
      <xdr:colOff>19050</xdr:colOff>
      <xdr:row>13</xdr:row>
      <xdr:rowOff>19051</xdr:rowOff>
    </xdr:from>
    <xdr:to>
      <xdr:col>13</xdr:col>
      <xdr:colOff>38175</xdr:colOff>
      <xdr:row>17</xdr:row>
      <xdr:rowOff>190501</xdr:rowOff>
    </xdr:to>
    <xdr:grpSp>
      <xdr:nvGrpSpPr>
        <xdr:cNvPr id="104" name="Group 103"/>
        <xdr:cNvGrpSpPr/>
      </xdr:nvGrpSpPr>
      <xdr:grpSpPr>
        <a:xfrm>
          <a:off x="3933825" y="2819401"/>
          <a:ext cx="2448000" cy="971550"/>
          <a:chOff x="1381126" y="1666875"/>
          <a:chExt cx="2390774" cy="971550"/>
        </a:xfrm>
      </xdr:grpSpPr>
      <xdr:sp macro="" textlink="">
        <xdr:nvSpPr>
          <xdr:cNvPr id="105" name="Rectangle 104"/>
          <xdr:cNvSpPr/>
        </xdr:nvSpPr>
        <xdr:spPr>
          <a:xfrm>
            <a:off x="1381126" y="1666875"/>
            <a:ext cx="2390774" cy="971550"/>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DISTRIBUTION</a:t>
            </a:r>
            <a:r>
              <a:rPr lang="en-GB" sz="1000" b="1" baseline="0"/>
              <a:t> OF IMPACT</a:t>
            </a:r>
            <a:r>
              <a:rPr lang="en-GB" sz="1000" b="1"/>
              <a:t>: </a:t>
            </a:r>
            <a:r>
              <a:rPr lang="en-GB" sz="1000" b="1" i="1"/>
              <a:t>by</a:t>
            </a:r>
            <a:r>
              <a:rPr lang="en-GB" sz="1000" b="1" i="1" baseline="0"/>
              <a:t> Visitor Type</a:t>
            </a:r>
            <a:endParaRPr lang="en-GB" sz="1000" b="1"/>
          </a:p>
        </xdr:txBody>
      </xdr:sp>
      <xdr:pic>
        <xdr:nvPicPr>
          <xdr:cNvPr id="106" name="Picture 105"/>
          <xdr:cNvPicPr>
            <a:picLocks noChangeAspect="1" noChangeArrowheads="1"/>
          </xdr:cNvPicPr>
        </xdr:nvPicPr>
        <xdr:blipFill>
          <a:blip xmlns:r="http://schemas.openxmlformats.org/officeDocument/2006/relationships" r:embed="rId11"/>
          <a:srcRect/>
          <a:stretch>
            <a:fillRect/>
          </a:stretch>
        </xdr:blipFill>
        <xdr:spPr bwMode="auto">
          <a:xfrm>
            <a:off x="1438275" y="1905002"/>
            <a:ext cx="1095375" cy="675080"/>
          </a:xfrm>
          <a:prstGeom prst="rect">
            <a:avLst/>
          </a:prstGeom>
          <a:noFill/>
          <a:ln w="25400">
            <a:noFill/>
            <a:miter lim="800000"/>
            <a:headEnd/>
            <a:tailEnd/>
          </a:ln>
        </xdr:spPr>
      </xdr:pic>
      <xdr:sp macro="" textlink="">
        <xdr:nvSpPr>
          <xdr:cNvPr id="107" name="Rectangle 106"/>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13</a:t>
            </a:r>
          </a:p>
        </xdr:txBody>
      </xdr:sp>
    </xdr:grpSp>
    <xdr:clientData/>
  </xdr:twoCellAnchor>
  <xdr:twoCellAnchor>
    <xdr:from>
      <xdr:col>13</xdr:col>
      <xdr:colOff>209550</xdr:colOff>
      <xdr:row>18</xdr:row>
      <xdr:rowOff>142875</xdr:rowOff>
    </xdr:from>
    <xdr:to>
      <xdr:col>18</xdr:col>
      <xdr:colOff>228675</xdr:colOff>
      <xdr:row>23</xdr:row>
      <xdr:rowOff>114300</xdr:rowOff>
    </xdr:to>
    <xdr:grpSp>
      <xdr:nvGrpSpPr>
        <xdr:cNvPr id="108" name="Group 107"/>
        <xdr:cNvGrpSpPr/>
      </xdr:nvGrpSpPr>
      <xdr:grpSpPr>
        <a:xfrm>
          <a:off x="6553200" y="3943350"/>
          <a:ext cx="2448000" cy="971550"/>
          <a:chOff x="1381126" y="1666875"/>
          <a:chExt cx="2390774" cy="971550"/>
        </a:xfrm>
      </xdr:grpSpPr>
      <xdr:sp macro="" textlink="">
        <xdr:nvSpPr>
          <xdr:cNvPr id="109" name="Rectangle 108"/>
          <xdr:cNvSpPr/>
        </xdr:nvSpPr>
        <xdr:spPr>
          <a:xfrm>
            <a:off x="1381126" y="1666875"/>
            <a:ext cx="2390774" cy="9715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VISITOR DAYS</a:t>
            </a:r>
          </a:p>
        </xdr:txBody>
      </xdr:sp>
      <xdr:pic>
        <xdr:nvPicPr>
          <xdr:cNvPr id="110" name="Picture 109"/>
          <xdr:cNvPicPr>
            <a:picLocks noChangeAspect="1" noChangeArrowheads="1"/>
          </xdr:cNvPicPr>
        </xdr:nvPicPr>
        <xdr:blipFill>
          <a:blip xmlns:r="http://schemas.openxmlformats.org/officeDocument/2006/relationships" r:embed="rId12"/>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11" name="Rectangle 110"/>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30-36</a:t>
            </a:r>
          </a:p>
        </xdr:txBody>
      </xdr:sp>
    </xdr:grpSp>
    <xdr:clientData/>
  </xdr:twoCellAnchor>
  <xdr:twoCellAnchor>
    <xdr:from>
      <xdr:col>8</xdr:col>
      <xdr:colOff>28575</xdr:colOff>
      <xdr:row>18</xdr:row>
      <xdr:rowOff>152400</xdr:rowOff>
    </xdr:from>
    <xdr:to>
      <xdr:col>13</xdr:col>
      <xdr:colOff>47700</xdr:colOff>
      <xdr:row>23</xdr:row>
      <xdr:rowOff>123825</xdr:rowOff>
    </xdr:to>
    <xdr:grpSp>
      <xdr:nvGrpSpPr>
        <xdr:cNvPr id="112" name="Group 111"/>
        <xdr:cNvGrpSpPr/>
      </xdr:nvGrpSpPr>
      <xdr:grpSpPr>
        <a:xfrm>
          <a:off x="3943350" y="3952875"/>
          <a:ext cx="2448000" cy="971550"/>
          <a:chOff x="1381126" y="1666875"/>
          <a:chExt cx="2390774" cy="971550"/>
        </a:xfrm>
      </xdr:grpSpPr>
      <xdr:sp macro="" textlink="">
        <xdr:nvSpPr>
          <xdr:cNvPr id="113" name="Rectangle 112"/>
          <xdr:cNvSpPr/>
        </xdr:nvSpPr>
        <xdr:spPr>
          <a:xfrm>
            <a:off x="1381126" y="1666875"/>
            <a:ext cx="2390774" cy="9715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VISITOR NUMBERS</a:t>
            </a:r>
          </a:p>
        </xdr:txBody>
      </xdr:sp>
      <xdr:pic>
        <xdr:nvPicPr>
          <xdr:cNvPr id="114" name="Picture 113"/>
          <xdr:cNvPicPr>
            <a:picLocks noChangeAspect="1" noChangeArrowheads="1"/>
          </xdr:cNvPicPr>
        </xdr:nvPicPr>
        <xdr:blipFill>
          <a:blip xmlns:r="http://schemas.openxmlformats.org/officeDocument/2006/relationships" r:embed="rId13"/>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15" name="Rectangle 114"/>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23-29</a:t>
            </a:r>
          </a:p>
        </xdr:txBody>
      </xdr:sp>
    </xdr:grpSp>
    <xdr:clientData/>
  </xdr:twoCellAnchor>
  <xdr:twoCellAnchor>
    <xdr:from>
      <xdr:col>18</xdr:col>
      <xdr:colOff>438150</xdr:colOff>
      <xdr:row>18</xdr:row>
      <xdr:rowOff>161925</xdr:rowOff>
    </xdr:from>
    <xdr:to>
      <xdr:col>23</xdr:col>
      <xdr:colOff>457275</xdr:colOff>
      <xdr:row>23</xdr:row>
      <xdr:rowOff>133350</xdr:rowOff>
    </xdr:to>
    <xdr:grpSp>
      <xdr:nvGrpSpPr>
        <xdr:cNvPr id="116" name="Group 115"/>
        <xdr:cNvGrpSpPr/>
      </xdr:nvGrpSpPr>
      <xdr:grpSpPr>
        <a:xfrm>
          <a:off x="9210675" y="3962400"/>
          <a:ext cx="2448000" cy="971550"/>
          <a:chOff x="1381126" y="1666875"/>
          <a:chExt cx="2390774" cy="971550"/>
        </a:xfrm>
      </xdr:grpSpPr>
      <xdr:sp macro="" textlink="">
        <xdr:nvSpPr>
          <xdr:cNvPr id="117" name="Rectangle 116"/>
          <xdr:cNvSpPr/>
        </xdr:nvSpPr>
        <xdr:spPr>
          <a:xfrm>
            <a:off x="1381126" y="1666875"/>
            <a:ext cx="2390774" cy="97155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tx1"/>
                </a:solidFill>
              </a:rPr>
              <a:t>DIRECT AND TOTAL</a:t>
            </a:r>
            <a:r>
              <a:rPr lang="en-GB" sz="1000" b="1" baseline="0">
                <a:solidFill>
                  <a:schemeClr val="tx1"/>
                </a:solidFill>
              </a:rPr>
              <a:t> </a:t>
            </a:r>
            <a:r>
              <a:rPr lang="en-GB" sz="1000" b="1">
                <a:solidFill>
                  <a:schemeClr val="tx1"/>
                </a:solidFill>
              </a:rPr>
              <a:t>EMPLOYMENT</a:t>
            </a:r>
          </a:p>
        </xdr:txBody>
      </xdr:sp>
      <xdr:pic>
        <xdr:nvPicPr>
          <xdr:cNvPr id="118" name="Picture 117"/>
          <xdr:cNvPicPr>
            <a:picLocks noChangeAspect="1" noChangeArrowheads="1"/>
          </xdr:cNvPicPr>
        </xdr:nvPicPr>
        <xdr:blipFill>
          <a:blip xmlns:r="http://schemas.openxmlformats.org/officeDocument/2006/relationships" r:embed="rId14"/>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19" name="Rectangle 118"/>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37-43</a:t>
            </a:r>
          </a:p>
        </xdr:txBody>
      </xdr:sp>
    </xdr:grpSp>
    <xdr:clientData/>
  </xdr:twoCellAnchor>
  <xdr:twoCellAnchor>
    <xdr:from>
      <xdr:col>4</xdr:col>
      <xdr:colOff>19050</xdr:colOff>
      <xdr:row>18</xdr:row>
      <xdr:rowOff>161926</xdr:rowOff>
    </xdr:from>
    <xdr:to>
      <xdr:col>7</xdr:col>
      <xdr:colOff>333450</xdr:colOff>
      <xdr:row>23</xdr:row>
      <xdr:rowOff>133351</xdr:rowOff>
    </xdr:to>
    <xdr:grpSp>
      <xdr:nvGrpSpPr>
        <xdr:cNvPr id="120" name="Group 119"/>
        <xdr:cNvGrpSpPr/>
      </xdr:nvGrpSpPr>
      <xdr:grpSpPr>
        <a:xfrm>
          <a:off x="1314450" y="3962401"/>
          <a:ext cx="2448000" cy="971550"/>
          <a:chOff x="1381126" y="1666875"/>
          <a:chExt cx="2390774" cy="971550"/>
        </a:xfrm>
      </xdr:grpSpPr>
      <xdr:sp macro="" textlink="">
        <xdr:nvSpPr>
          <xdr:cNvPr id="121" name="Rectangle 120"/>
          <xdr:cNvSpPr/>
        </xdr:nvSpPr>
        <xdr:spPr>
          <a:xfrm>
            <a:off x="1381126" y="1666875"/>
            <a:ext cx="2390774" cy="97155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UNINDEXED</a:t>
            </a:r>
            <a:r>
              <a:rPr lang="en-GB" sz="1000" b="1" baseline="0"/>
              <a:t> ECONOMIC IMPACT</a:t>
            </a:r>
            <a:endParaRPr lang="en-GB" sz="1000" b="1"/>
          </a:p>
        </xdr:txBody>
      </xdr:sp>
      <xdr:pic>
        <xdr:nvPicPr>
          <xdr:cNvPr id="122" name="Picture 121"/>
          <xdr:cNvPicPr>
            <a:picLocks noChangeAspect="1" noChangeArrowheads="1"/>
          </xdr:cNvPicPr>
        </xdr:nvPicPr>
        <xdr:blipFill>
          <a:blip xmlns:r="http://schemas.openxmlformats.org/officeDocument/2006/relationships" r:embed="rId15"/>
          <a:srcRect/>
          <a:stretch>
            <a:fillRect/>
          </a:stretch>
        </xdr:blipFill>
        <xdr:spPr bwMode="auto">
          <a:xfrm>
            <a:off x="1438275" y="1905002"/>
            <a:ext cx="1095375" cy="675080"/>
          </a:xfrm>
          <a:prstGeom prst="rect">
            <a:avLst/>
          </a:prstGeom>
          <a:noFill/>
          <a:ln w="25400">
            <a:noFill/>
            <a:miter lim="800000"/>
            <a:headEnd/>
            <a:tailEnd/>
          </a:ln>
        </xdr:spPr>
      </xdr:pic>
      <xdr:sp macro="" textlink="">
        <xdr:nvSpPr>
          <xdr:cNvPr id="123" name="Rectangle 122"/>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16-22</a:t>
            </a:r>
          </a:p>
        </xdr:txBody>
      </xdr:sp>
    </xdr:grpSp>
    <xdr:clientData/>
  </xdr:twoCellAnchor>
  <xdr:twoCellAnchor>
    <xdr:from>
      <xdr:col>18</xdr:col>
      <xdr:colOff>409575</xdr:colOff>
      <xdr:row>24</xdr:row>
      <xdr:rowOff>133350</xdr:rowOff>
    </xdr:from>
    <xdr:to>
      <xdr:col>23</xdr:col>
      <xdr:colOff>428700</xdr:colOff>
      <xdr:row>29</xdr:row>
      <xdr:rowOff>104775</xdr:rowOff>
    </xdr:to>
    <xdr:grpSp>
      <xdr:nvGrpSpPr>
        <xdr:cNvPr id="128" name="Group 127"/>
        <xdr:cNvGrpSpPr/>
      </xdr:nvGrpSpPr>
      <xdr:grpSpPr>
        <a:xfrm>
          <a:off x="9182100" y="5133975"/>
          <a:ext cx="2448000" cy="971550"/>
          <a:chOff x="1381126" y="1666875"/>
          <a:chExt cx="2390774" cy="971550"/>
        </a:xfrm>
      </xdr:grpSpPr>
      <xdr:sp macro="" textlink="">
        <xdr:nvSpPr>
          <xdr:cNvPr id="129" name="Rectangle 128"/>
          <xdr:cNvSpPr/>
        </xdr:nvSpPr>
        <xdr:spPr>
          <a:xfrm>
            <a:off x="1381126" y="1666875"/>
            <a:ext cx="2390774" cy="97155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i="0">
                <a:solidFill>
                  <a:schemeClr val="bg1"/>
                </a:solidFill>
              </a:rPr>
              <a:t>INDEXED</a:t>
            </a:r>
            <a:r>
              <a:rPr lang="en-GB" sz="1000" b="1" i="0" baseline="0">
                <a:solidFill>
                  <a:schemeClr val="bg1"/>
                </a:solidFill>
              </a:rPr>
              <a:t> </a:t>
            </a:r>
            <a:r>
              <a:rPr lang="en-GB" sz="1000" b="1" i="0">
                <a:solidFill>
                  <a:schemeClr val="bg1"/>
                </a:solidFill>
              </a:rPr>
              <a:t>FINANCIAL</a:t>
            </a:r>
            <a:r>
              <a:rPr lang="en-GB" sz="1000" b="1" i="0" baseline="0">
                <a:solidFill>
                  <a:schemeClr val="bg1"/>
                </a:solidFill>
              </a:rPr>
              <a:t> DATA</a:t>
            </a:r>
            <a:endParaRPr lang="en-GB" sz="1000" b="1" i="0">
              <a:solidFill>
                <a:schemeClr val="bg1"/>
              </a:solidFill>
            </a:endParaRPr>
          </a:p>
        </xdr:txBody>
      </xdr:sp>
      <xdr:pic>
        <xdr:nvPicPr>
          <xdr:cNvPr id="130" name="Picture 129"/>
          <xdr:cNvPicPr>
            <a:picLocks noChangeAspect="1" noChangeArrowheads="1"/>
          </xdr:cNvPicPr>
        </xdr:nvPicPr>
        <xdr:blipFill rotWithShape="1">
          <a:blip xmlns:r="http://schemas.openxmlformats.org/officeDocument/2006/relationships" r:embed="rId16"/>
          <a:srcRect r="50866"/>
          <a:stretch>
            <a:fillRect/>
          </a:stretch>
        </xdr:blipFill>
        <xdr:spPr bwMode="auto">
          <a:xfrm>
            <a:off x="1438275" y="1905002"/>
            <a:ext cx="538201"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31" name="Rectangle 130"/>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45-59</a:t>
            </a:r>
          </a:p>
        </xdr:txBody>
      </xdr:sp>
    </xdr:grpSp>
    <xdr:clientData/>
  </xdr:twoCellAnchor>
  <xdr:twoCellAnchor>
    <xdr:from>
      <xdr:col>4</xdr:col>
      <xdr:colOff>19050</xdr:colOff>
      <xdr:row>13</xdr:row>
      <xdr:rowOff>19050</xdr:rowOff>
    </xdr:from>
    <xdr:to>
      <xdr:col>7</xdr:col>
      <xdr:colOff>333450</xdr:colOff>
      <xdr:row>17</xdr:row>
      <xdr:rowOff>190500</xdr:rowOff>
    </xdr:to>
    <xdr:grpSp>
      <xdr:nvGrpSpPr>
        <xdr:cNvPr id="145" name="Group 144"/>
        <xdr:cNvGrpSpPr/>
      </xdr:nvGrpSpPr>
      <xdr:grpSpPr>
        <a:xfrm>
          <a:off x="1314450" y="2819400"/>
          <a:ext cx="2448000" cy="971550"/>
          <a:chOff x="1314450" y="2819400"/>
          <a:chExt cx="2448000" cy="971550"/>
        </a:xfrm>
        <a:effectLst/>
      </xdr:grpSpPr>
      <xdr:sp macro="" textlink="">
        <xdr:nvSpPr>
          <xdr:cNvPr id="137" name="Down Arrow Callout 136"/>
          <xdr:cNvSpPr/>
        </xdr:nvSpPr>
        <xdr:spPr>
          <a:xfrm>
            <a:off x="1314450" y="2819400"/>
            <a:ext cx="2448000" cy="971550"/>
          </a:xfrm>
          <a:prstGeom prst="downArrowCallout">
            <a:avLst>
              <a:gd name="adj1" fmla="val 251968"/>
              <a:gd name="adj2" fmla="val 125984"/>
              <a:gd name="adj3" fmla="val 25000"/>
              <a:gd name="adj4" fmla="val 75000"/>
            </a:avLst>
          </a:prstGeom>
          <a:solidFill>
            <a:schemeClr val="bg1">
              <a:lumMod val="6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000" b="1"/>
          </a:p>
        </xdr:txBody>
      </xdr:sp>
      <xdr:sp macro="" textlink="">
        <xdr:nvSpPr>
          <xdr:cNvPr id="140" name="Rectangle 139"/>
          <xdr:cNvSpPr/>
        </xdr:nvSpPr>
        <xdr:spPr>
          <a:xfrm>
            <a:off x="1352550" y="2867025"/>
            <a:ext cx="2362200" cy="790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ctr"/>
            <a:r>
              <a:rPr lang="en-GB" sz="1400" b="1">
                <a:solidFill>
                  <a:schemeClr val="bg1"/>
                </a:solidFill>
              </a:rPr>
              <a:t>KEY IMPACT MEASURES:</a:t>
            </a:r>
          </a:p>
          <a:p>
            <a:pPr algn="ctr"/>
            <a:r>
              <a:rPr lang="en-GB" sz="1400" b="1">
                <a:solidFill>
                  <a:schemeClr val="bg1"/>
                </a:solidFill>
              </a:rPr>
              <a:t>MONTHLY</a:t>
            </a:r>
            <a:r>
              <a:rPr lang="en-GB" sz="1400" b="1" baseline="0">
                <a:solidFill>
                  <a:schemeClr val="bg1"/>
                </a:solidFill>
              </a:rPr>
              <a:t> DATA BY</a:t>
            </a:r>
          </a:p>
          <a:p>
            <a:pPr algn="ctr"/>
            <a:r>
              <a:rPr lang="en-GB" sz="1400" b="1" baseline="0">
                <a:solidFill>
                  <a:schemeClr val="bg1"/>
                </a:solidFill>
              </a:rPr>
              <a:t>VISITOR TYPE</a:t>
            </a:r>
            <a:endParaRPr lang="en-GB" sz="1400" b="1">
              <a:solidFill>
                <a:schemeClr val="bg1"/>
              </a:solidFill>
            </a:endParaRPr>
          </a:p>
        </xdr:txBody>
      </xdr:sp>
    </xdr:grpSp>
    <xdr:clientData/>
  </xdr:twoCellAnchor>
  <xdr:twoCellAnchor>
    <xdr:from>
      <xdr:col>13</xdr:col>
      <xdr:colOff>209550</xdr:colOff>
      <xdr:row>24</xdr:row>
      <xdr:rowOff>114300</xdr:rowOff>
    </xdr:from>
    <xdr:to>
      <xdr:col>18</xdr:col>
      <xdr:colOff>228675</xdr:colOff>
      <xdr:row>29</xdr:row>
      <xdr:rowOff>85725</xdr:rowOff>
    </xdr:to>
    <xdr:grpSp>
      <xdr:nvGrpSpPr>
        <xdr:cNvPr id="146" name="Group 145"/>
        <xdr:cNvGrpSpPr/>
      </xdr:nvGrpSpPr>
      <xdr:grpSpPr>
        <a:xfrm>
          <a:off x="6553200" y="5114925"/>
          <a:ext cx="2448000" cy="971550"/>
          <a:chOff x="3924300" y="5114925"/>
          <a:chExt cx="2448000" cy="971550"/>
        </a:xfrm>
      </xdr:grpSpPr>
      <xdr:sp macro="" textlink="">
        <xdr:nvSpPr>
          <xdr:cNvPr id="143" name="Right Arrow Callout 142"/>
          <xdr:cNvSpPr/>
        </xdr:nvSpPr>
        <xdr:spPr>
          <a:xfrm>
            <a:off x="3924300" y="5114925"/>
            <a:ext cx="2448000" cy="971550"/>
          </a:xfrm>
          <a:prstGeom prst="rightArrowCallout">
            <a:avLst>
              <a:gd name="adj1" fmla="val 100000"/>
              <a:gd name="adj2" fmla="val 50000"/>
              <a:gd name="adj3" fmla="val 30883"/>
              <a:gd name="adj4" fmla="val 82875"/>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000" b="1"/>
          </a:p>
        </xdr:txBody>
      </xdr:sp>
      <xdr:sp macro="" textlink="">
        <xdr:nvSpPr>
          <xdr:cNvPr id="144" name="Rectangle 143"/>
          <xdr:cNvSpPr/>
        </xdr:nvSpPr>
        <xdr:spPr>
          <a:xfrm>
            <a:off x="3962399" y="5162550"/>
            <a:ext cx="2371726" cy="876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ctr"/>
            <a:r>
              <a:rPr lang="en-GB" sz="1400" b="1">
                <a:solidFill>
                  <a:schemeClr val="bg1"/>
                </a:solidFill>
              </a:rPr>
              <a:t>ANNEX</a:t>
            </a:r>
          </a:p>
        </xdr:txBody>
      </xdr:sp>
    </xdr:grpSp>
    <xdr:clientData/>
  </xdr:twoCellAnchor>
  <xdr:twoCellAnchor>
    <xdr:from>
      <xdr:col>20</xdr:col>
      <xdr:colOff>76200</xdr:colOff>
      <xdr:row>25</xdr:row>
      <xdr:rowOff>171450</xdr:rowOff>
    </xdr:from>
    <xdr:to>
      <xdr:col>21</xdr:col>
      <xdr:colOff>141508</xdr:colOff>
      <xdr:row>29</xdr:row>
      <xdr:rowOff>46430</xdr:rowOff>
    </xdr:to>
    <xdr:pic>
      <xdr:nvPicPr>
        <xdr:cNvPr id="149" name="Picture 148"/>
        <xdr:cNvPicPr>
          <a:picLocks noChangeAspect="1" noChangeArrowheads="1"/>
        </xdr:cNvPicPr>
      </xdr:nvPicPr>
      <xdr:blipFill rotWithShape="1">
        <a:blip xmlns:r="http://schemas.openxmlformats.org/officeDocument/2006/relationships" r:embed="rId17"/>
        <a:srcRect r="50866"/>
        <a:stretch>
          <a:fillRect/>
        </a:stretch>
      </xdr:blipFill>
      <xdr:spPr bwMode="auto">
        <a:xfrm>
          <a:off x="9820275" y="5372100"/>
          <a:ext cx="551083"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clientData/>
  </xdr:twoCellAnchor>
  <xdr:twoCellAnchor>
    <xdr:from>
      <xdr:col>19</xdr:col>
      <xdr:colOff>476252</xdr:colOff>
      <xdr:row>25</xdr:row>
      <xdr:rowOff>172796</xdr:rowOff>
    </xdr:from>
    <xdr:to>
      <xdr:col>20</xdr:col>
      <xdr:colOff>123830</xdr:colOff>
      <xdr:row>29</xdr:row>
      <xdr:rowOff>46359</xdr:rowOff>
    </xdr:to>
    <xdr:sp macro="" textlink="">
      <xdr:nvSpPr>
        <xdr:cNvPr id="147" name="Wave 146"/>
        <xdr:cNvSpPr/>
      </xdr:nvSpPr>
      <xdr:spPr>
        <a:xfrm rot="16200000">
          <a:off x="9464397" y="5643601"/>
          <a:ext cx="673663" cy="133353"/>
        </a:xfrm>
        <a:prstGeom prst="wave">
          <a:avLst/>
        </a:prstGeom>
        <a:solidFill>
          <a:schemeClr val="bg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18</xdr:col>
      <xdr:colOff>342900</xdr:colOff>
      <xdr:row>5</xdr:row>
      <xdr:rowOff>9525</xdr:rowOff>
    </xdr:from>
    <xdr:to>
      <xdr:col>18</xdr:col>
      <xdr:colOff>342900</xdr:colOff>
      <xdr:row>7</xdr:row>
      <xdr:rowOff>9525</xdr:rowOff>
    </xdr:to>
    <xdr:cxnSp macro="">
      <xdr:nvCxnSpPr>
        <xdr:cNvPr id="151" name="Straight Connector 150"/>
        <xdr:cNvCxnSpPr/>
      </xdr:nvCxnSpPr>
      <xdr:spPr>
        <a:xfrm>
          <a:off x="9115425" y="1209675"/>
          <a:ext cx="0" cy="400050"/>
        </a:xfrm>
        <a:prstGeom prst="line">
          <a:avLst/>
        </a:prstGeom>
        <a:ln w="254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24</xdr:row>
      <xdr:rowOff>123825</xdr:rowOff>
    </xdr:from>
    <xdr:to>
      <xdr:col>7</xdr:col>
      <xdr:colOff>333450</xdr:colOff>
      <xdr:row>29</xdr:row>
      <xdr:rowOff>95250</xdr:rowOff>
    </xdr:to>
    <xdr:grpSp>
      <xdr:nvGrpSpPr>
        <xdr:cNvPr id="70" name="Group 69"/>
        <xdr:cNvGrpSpPr/>
      </xdr:nvGrpSpPr>
      <xdr:grpSpPr>
        <a:xfrm>
          <a:off x="1314450" y="5124450"/>
          <a:ext cx="2448000" cy="971550"/>
          <a:chOff x="1314450" y="2819400"/>
          <a:chExt cx="2448000" cy="971550"/>
        </a:xfrm>
        <a:effectLst/>
      </xdr:grpSpPr>
      <xdr:sp macro="" textlink="">
        <xdr:nvSpPr>
          <xdr:cNvPr id="71" name="Down Arrow Callout 70"/>
          <xdr:cNvSpPr/>
        </xdr:nvSpPr>
        <xdr:spPr>
          <a:xfrm>
            <a:off x="1314450" y="2819400"/>
            <a:ext cx="2448000" cy="971550"/>
          </a:xfrm>
          <a:prstGeom prst="downArrowCallout">
            <a:avLst>
              <a:gd name="adj1" fmla="val 251968"/>
              <a:gd name="adj2" fmla="val 125984"/>
              <a:gd name="adj3" fmla="val 25000"/>
              <a:gd name="adj4" fmla="val 75000"/>
            </a:avLst>
          </a:prstGeom>
          <a:solidFill>
            <a:schemeClr val="bg1">
              <a:lumMod val="6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000" b="1"/>
          </a:p>
        </xdr:txBody>
      </xdr:sp>
      <xdr:sp macro="" textlink="">
        <xdr:nvSpPr>
          <xdr:cNvPr id="76" name="Rectangle 75"/>
          <xdr:cNvSpPr/>
        </xdr:nvSpPr>
        <xdr:spPr>
          <a:xfrm>
            <a:off x="1352550" y="2867025"/>
            <a:ext cx="2362200" cy="790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ctr"/>
            <a:r>
              <a:rPr lang="en-GB" sz="1400" b="1">
                <a:solidFill>
                  <a:schemeClr val="bg1"/>
                </a:solidFill>
              </a:rPr>
              <a:t>APPENDICES</a:t>
            </a:r>
          </a:p>
        </xdr:txBody>
      </xdr:sp>
    </xdr:grpSp>
    <xdr:clientData/>
  </xdr:twoCellAnchor>
  <xdr:twoCellAnchor>
    <xdr:from>
      <xdr:col>8</xdr:col>
      <xdr:colOff>0</xdr:colOff>
      <xdr:row>30</xdr:row>
      <xdr:rowOff>114300</xdr:rowOff>
    </xdr:from>
    <xdr:to>
      <xdr:col>13</xdr:col>
      <xdr:colOff>19125</xdr:colOff>
      <xdr:row>35</xdr:row>
      <xdr:rowOff>85725</xdr:rowOff>
    </xdr:to>
    <xdr:grpSp>
      <xdr:nvGrpSpPr>
        <xdr:cNvPr id="125" name="Group 124"/>
        <xdr:cNvGrpSpPr/>
      </xdr:nvGrpSpPr>
      <xdr:grpSpPr>
        <a:xfrm>
          <a:off x="3914775" y="6315075"/>
          <a:ext cx="2448000" cy="971550"/>
          <a:chOff x="1381126" y="1666875"/>
          <a:chExt cx="2390774" cy="971550"/>
        </a:xfrm>
      </xdr:grpSpPr>
      <xdr:sp macro="" textlink="">
        <xdr:nvSpPr>
          <xdr:cNvPr id="126" name="Rectangle 125"/>
          <xdr:cNvSpPr/>
        </xdr:nvSpPr>
        <xdr:spPr>
          <a:xfrm>
            <a:off x="1381126" y="1666875"/>
            <a:ext cx="2390774" cy="971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TOURIST DAYS</a:t>
            </a:r>
          </a:p>
        </xdr:txBody>
      </xdr:sp>
      <xdr:sp macro="" textlink="">
        <xdr:nvSpPr>
          <xdr:cNvPr id="132" name="Rectangle 131"/>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800" b="1">
              <a:solidFill>
                <a:schemeClr val="tx1">
                  <a:lumMod val="50000"/>
                  <a:lumOff val="50000"/>
                </a:schemeClr>
              </a:solidFill>
            </a:endParaRPr>
          </a:p>
        </xdr:txBody>
      </xdr:sp>
    </xdr:grpSp>
    <xdr:clientData/>
  </xdr:twoCellAnchor>
  <xdr:twoCellAnchor>
    <xdr:from>
      <xdr:col>13</xdr:col>
      <xdr:colOff>200025</xdr:colOff>
      <xdr:row>30</xdr:row>
      <xdr:rowOff>114300</xdr:rowOff>
    </xdr:from>
    <xdr:to>
      <xdr:col>18</xdr:col>
      <xdr:colOff>219150</xdr:colOff>
      <xdr:row>35</xdr:row>
      <xdr:rowOff>85725</xdr:rowOff>
    </xdr:to>
    <xdr:grpSp>
      <xdr:nvGrpSpPr>
        <xdr:cNvPr id="133" name="Group 132"/>
        <xdr:cNvGrpSpPr/>
      </xdr:nvGrpSpPr>
      <xdr:grpSpPr>
        <a:xfrm>
          <a:off x="6543675" y="6315075"/>
          <a:ext cx="2448000" cy="971550"/>
          <a:chOff x="1381126" y="1666875"/>
          <a:chExt cx="2390774" cy="971550"/>
        </a:xfrm>
      </xdr:grpSpPr>
      <xdr:sp macro="" textlink="">
        <xdr:nvSpPr>
          <xdr:cNvPr id="134" name="Rectangle 133"/>
          <xdr:cNvSpPr/>
        </xdr:nvSpPr>
        <xdr:spPr>
          <a:xfrm>
            <a:off x="1381126" y="1666875"/>
            <a:ext cx="2390774" cy="971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TOURIST NUMBERS</a:t>
            </a:r>
          </a:p>
        </xdr:txBody>
      </xdr:sp>
      <xdr:sp macro="" textlink="">
        <xdr:nvSpPr>
          <xdr:cNvPr id="136" name="Rectangle 135"/>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800" b="1">
              <a:solidFill>
                <a:schemeClr val="tx1">
                  <a:lumMod val="50000"/>
                  <a:lumOff val="50000"/>
                </a:schemeClr>
              </a:solidFill>
            </a:endParaRPr>
          </a:p>
        </xdr:txBody>
      </xdr:sp>
    </xdr:grpSp>
    <xdr:clientData/>
  </xdr:twoCellAnchor>
  <xdr:twoCellAnchor>
    <xdr:from>
      <xdr:col>18</xdr:col>
      <xdr:colOff>419100</xdr:colOff>
      <xdr:row>30</xdr:row>
      <xdr:rowOff>114300</xdr:rowOff>
    </xdr:from>
    <xdr:to>
      <xdr:col>23</xdr:col>
      <xdr:colOff>438225</xdr:colOff>
      <xdr:row>35</xdr:row>
      <xdr:rowOff>85725</xdr:rowOff>
    </xdr:to>
    <xdr:grpSp>
      <xdr:nvGrpSpPr>
        <xdr:cNvPr id="138" name="Group 137"/>
        <xdr:cNvGrpSpPr/>
      </xdr:nvGrpSpPr>
      <xdr:grpSpPr>
        <a:xfrm>
          <a:off x="9191625" y="6315075"/>
          <a:ext cx="2448000" cy="971550"/>
          <a:chOff x="1381126" y="1666875"/>
          <a:chExt cx="2390774" cy="971550"/>
        </a:xfrm>
      </xdr:grpSpPr>
      <xdr:sp macro="" textlink="">
        <xdr:nvSpPr>
          <xdr:cNvPr id="139" name="Rectangle 138"/>
          <xdr:cNvSpPr/>
        </xdr:nvSpPr>
        <xdr:spPr>
          <a:xfrm>
            <a:off x="1381126" y="1666875"/>
            <a:ext cx="2390774" cy="971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DIRECT AND TOTAL</a:t>
            </a:r>
            <a:r>
              <a:rPr lang="en-GB" sz="1000" b="1" baseline="0">
                <a:solidFill>
                  <a:schemeClr val="bg1"/>
                </a:solidFill>
              </a:rPr>
              <a:t> </a:t>
            </a:r>
            <a:r>
              <a:rPr lang="en-GB" sz="1000" b="1">
                <a:solidFill>
                  <a:schemeClr val="bg1"/>
                </a:solidFill>
              </a:rPr>
              <a:t>EMPLOYMENT</a:t>
            </a:r>
          </a:p>
        </xdr:txBody>
      </xdr:sp>
      <xdr:sp macro="" textlink="">
        <xdr:nvSpPr>
          <xdr:cNvPr id="142" name="Rectangle 141"/>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800" b="1">
              <a:solidFill>
                <a:schemeClr val="tx1">
                  <a:lumMod val="50000"/>
                  <a:lumOff val="50000"/>
                </a:schemeClr>
              </a:solidFill>
            </a:endParaRPr>
          </a:p>
        </xdr:txBody>
      </xdr:sp>
    </xdr:grpSp>
    <xdr:clientData/>
  </xdr:twoCellAnchor>
  <xdr:twoCellAnchor>
    <xdr:from>
      <xdr:col>4</xdr:col>
      <xdr:colOff>28575</xdr:colOff>
      <xdr:row>30</xdr:row>
      <xdr:rowOff>95251</xdr:rowOff>
    </xdr:from>
    <xdr:to>
      <xdr:col>7</xdr:col>
      <xdr:colOff>342975</xdr:colOff>
      <xdr:row>35</xdr:row>
      <xdr:rowOff>66676</xdr:rowOff>
    </xdr:to>
    <xdr:grpSp>
      <xdr:nvGrpSpPr>
        <xdr:cNvPr id="148" name="Group 147"/>
        <xdr:cNvGrpSpPr/>
      </xdr:nvGrpSpPr>
      <xdr:grpSpPr>
        <a:xfrm>
          <a:off x="1323975" y="6296026"/>
          <a:ext cx="2448000" cy="971550"/>
          <a:chOff x="1381126" y="1666875"/>
          <a:chExt cx="2390774" cy="971550"/>
        </a:xfrm>
      </xdr:grpSpPr>
      <xdr:sp macro="" textlink="">
        <xdr:nvSpPr>
          <xdr:cNvPr id="150" name="Rectangle 149"/>
          <xdr:cNvSpPr/>
        </xdr:nvSpPr>
        <xdr:spPr>
          <a:xfrm>
            <a:off x="1381126" y="1666875"/>
            <a:ext cx="2390774" cy="9715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STEAM OVERVIEW</a:t>
            </a:r>
          </a:p>
        </xdr:txBody>
      </xdr:sp>
      <xdr:sp macro="" textlink="">
        <xdr:nvSpPr>
          <xdr:cNvPr id="153" name="Rectangle 152"/>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A-1</a:t>
            </a:r>
          </a:p>
        </xdr:txBody>
      </xdr:sp>
    </xdr:grpSp>
    <xdr:clientData/>
  </xdr:twoCellAnchor>
  <xdr:twoCellAnchor>
    <xdr:from>
      <xdr:col>4</xdr:col>
      <xdr:colOff>542925</xdr:colOff>
      <xdr:row>32</xdr:row>
      <xdr:rowOff>57150</xdr:rowOff>
    </xdr:from>
    <xdr:to>
      <xdr:col>4</xdr:col>
      <xdr:colOff>809625</xdr:colOff>
      <xdr:row>34</xdr:row>
      <xdr:rowOff>10485</xdr:rowOff>
    </xdr:to>
    <xdr:pic>
      <xdr:nvPicPr>
        <xdr:cNvPr id="155" name="Picture 154" descr="logovvsm.jpg"/>
        <xdr:cNvPicPr>
          <a:picLocks noChangeAspect="1"/>
        </xdr:cNvPicPr>
      </xdr:nvPicPr>
      <xdr:blipFill>
        <a:blip xmlns:r="http://schemas.openxmlformats.org/officeDocument/2006/relationships" r:embed="rId1" cstate="print"/>
        <a:stretch>
          <a:fillRect/>
        </a:stretch>
      </xdr:blipFill>
      <xdr:spPr>
        <a:xfrm>
          <a:off x="1838325" y="6657975"/>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7</xdr:col>
      <xdr:colOff>409576</xdr:colOff>
      <xdr:row>30</xdr:row>
      <xdr:rowOff>38100</xdr:rowOff>
    </xdr:from>
    <xdr:to>
      <xdr:col>23</xdr:col>
      <xdr:colOff>466726</xdr:colOff>
      <xdr:row>35</xdr:row>
      <xdr:rowOff>190500</xdr:rowOff>
    </xdr:to>
    <xdr:sp macro="" textlink="">
      <xdr:nvSpPr>
        <xdr:cNvPr id="9" name="Rectangle 8"/>
        <xdr:cNvSpPr/>
      </xdr:nvSpPr>
      <xdr:spPr>
        <a:xfrm>
          <a:off x="3838576" y="6238875"/>
          <a:ext cx="7829550" cy="11525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681790</xdr:colOff>
      <xdr:row>1</xdr:row>
      <xdr:rowOff>1</xdr:rowOff>
    </xdr:from>
    <xdr:to>
      <xdr:col>20</xdr:col>
      <xdr:colOff>792079</xdr:colOff>
      <xdr:row>4</xdr:row>
      <xdr:rowOff>130342</xdr:rowOff>
    </xdr:to>
    <xdr:sp macro="" textlink="">
      <xdr:nvSpPr>
        <xdr:cNvPr id="2" name="Rectangle 1"/>
        <xdr:cNvSpPr/>
      </xdr:nvSpPr>
      <xdr:spPr>
        <a:xfrm>
          <a:off x="12242132" y="180475"/>
          <a:ext cx="4321342" cy="671762"/>
        </a:xfrm>
        <a:prstGeom prst="rect">
          <a:avLst/>
        </a:prstGeom>
        <a:solidFill>
          <a:srgbClr val="00B050"/>
        </a:solidFill>
        <a:ln>
          <a:solidFill>
            <a:schemeClr val="accent1">
              <a:lumMod val="50000"/>
            </a:schemeClr>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1800" b="1"/>
            <a:t>ALL £'s HISTORIC PRICES</a:t>
          </a:r>
        </a:p>
        <a:p>
          <a:pPr algn="ctr"/>
          <a:r>
            <a:rPr lang="en-GB" sz="1050" b="0"/>
            <a:t>Inflationary</a:t>
          </a:r>
          <a:r>
            <a:rPr lang="en-GB" sz="1050" b="0" baseline="0"/>
            <a:t> Adjustments Not Available for this Sheet</a:t>
          </a:r>
          <a:endParaRPr lang="en-GB" sz="1050" b="0"/>
        </a:p>
      </xdr:txBody>
    </xdr:sp>
    <xdr:clientData fPrintsWithSheet="0"/>
  </xdr:twoCellAnchor>
  <xdr:twoCellAnchor editAs="oneCell">
    <xdr:from>
      <xdr:col>14</xdr:col>
      <xdr:colOff>576792</xdr:colOff>
      <xdr:row>0</xdr:row>
      <xdr:rowOff>155576</xdr:rowOff>
    </xdr:from>
    <xdr:to>
      <xdr:col>15</xdr:col>
      <xdr:colOff>553531</xdr:colOff>
      <xdr:row>5</xdr:row>
      <xdr:rowOff>2976</xdr:rowOff>
    </xdr:to>
    <xdr:pic>
      <xdr:nvPicPr>
        <xdr:cNvPr id="3" name="Picture 2">
          <a:hlinkClick xmlns:r="http://schemas.openxmlformats.org/officeDocument/2006/relationships" r:id="rId1" tooltip="Home - Navigation Page"/>
        </xdr:cNvPr>
        <xdr:cNvPicPr>
          <a:picLocks noChangeAspect="1"/>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tretch>
          <a:fillRect/>
        </a:stretch>
      </xdr:blipFill>
      <xdr:spPr>
        <a:xfrm>
          <a:off x="14507105" y="155576"/>
          <a:ext cx="788034" cy="763694"/>
        </a:xfrm>
        <a:prstGeom prst="rect">
          <a:avLst/>
        </a:prstGeom>
      </xdr:spPr>
    </xdr:pic>
    <xdr:clientData/>
  </xdr:twoCellAnchor>
  <xdr:twoCellAnchor>
    <xdr:from>
      <xdr:col>11</xdr:col>
      <xdr:colOff>666751</xdr:colOff>
      <xdr:row>1</xdr:row>
      <xdr:rowOff>0</xdr:rowOff>
    </xdr:from>
    <xdr:to>
      <xdr:col>14</xdr:col>
      <xdr:colOff>526099</xdr:colOff>
      <xdr:row>5</xdr:row>
      <xdr:rowOff>52917</xdr:rowOff>
    </xdr:to>
    <xdr:sp macro="" textlink="">
      <xdr:nvSpPr>
        <xdr:cNvPr id="7" name="Rectangle 6"/>
        <xdr:cNvSpPr/>
      </xdr:nvSpPr>
      <xdr:spPr>
        <a:xfrm>
          <a:off x="9715501" y="179917"/>
          <a:ext cx="3034348" cy="772583"/>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200" b="1">
              <a:solidFill>
                <a:schemeClr val="bg1"/>
              </a:solidFill>
            </a:rPr>
            <a:t>Pressing this on-screen "Home" button on</a:t>
          </a:r>
          <a:r>
            <a:rPr lang="en-GB" sz="1200" b="1" baseline="0">
              <a:solidFill>
                <a:schemeClr val="bg1"/>
              </a:solidFill>
            </a:rPr>
            <a:t> any sheet of the report takes you back to the navigation page</a:t>
          </a:r>
          <a:endParaRPr lang="en-GB" sz="1200" b="0" i="1" baseline="0">
            <a:solidFill>
              <a:schemeClr val="bg1"/>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6" name="Rectangle 5"/>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7" name="Bent Arrow 6"/>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314325</xdr:colOff>
      <xdr:row>4</xdr:row>
      <xdr:rowOff>0</xdr:rowOff>
    </xdr:from>
    <xdr:to>
      <xdr:col>16</xdr:col>
      <xdr:colOff>148365</xdr:colOff>
      <xdr:row>4</xdr:row>
      <xdr:rowOff>327600</xdr:rowOff>
    </xdr:to>
    <xdr:sp macro="" textlink="">
      <xdr:nvSpPr>
        <xdr:cNvPr id="64" name="Rectangle 63"/>
        <xdr:cNvSpPr/>
      </xdr:nvSpPr>
      <xdr:spPr>
        <a:xfrm>
          <a:off x="6457950" y="866775"/>
          <a:ext cx="1205640" cy="327600"/>
        </a:xfrm>
        <a:prstGeom prst="rect">
          <a:avLst/>
        </a:prstGeom>
        <a:solidFill>
          <a:schemeClr val="accent1"/>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1234440</xdr:colOff>
      <xdr:row>3</xdr:row>
      <xdr:rowOff>304801</xdr:rowOff>
    </xdr:from>
    <xdr:to>
      <xdr:col>7</xdr:col>
      <xdr:colOff>15240</xdr:colOff>
      <xdr:row>4</xdr:row>
      <xdr:rowOff>329521</xdr:rowOff>
    </xdr:to>
    <xdr:sp macro="" textlink="">
      <xdr:nvSpPr>
        <xdr:cNvPr id="4" name="Rectangle 3"/>
        <xdr:cNvSpPr/>
      </xdr:nvSpPr>
      <xdr:spPr>
        <a:xfrm>
          <a:off x="2575560" y="845821"/>
          <a:ext cx="94488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COMPARISON</a:t>
          </a:r>
        </a:p>
        <a:p>
          <a:pPr algn="ctr"/>
          <a:r>
            <a:rPr lang="en-GB" sz="900" b="1">
              <a:solidFill>
                <a:schemeClr val="bg1"/>
              </a:solidFill>
            </a:rPr>
            <a:t>YEAR</a:t>
          </a:r>
          <a:endParaRPr lang="en-GB" sz="900" b="1" baseline="0">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5" name="Picture 4"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6" name="TextBox 5"/>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8" name="Rectangle 7"/>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 Each sheet has a set of controls, allowing a range of adjustments.</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9" name="Picture 8">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17</xdr:col>
      <xdr:colOff>281940</xdr:colOff>
      <xdr:row>3</xdr:row>
      <xdr:rowOff>304801</xdr:rowOff>
    </xdr:from>
    <xdr:to>
      <xdr:col>21</xdr:col>
      <xdr:colOff>192180</xdr:colOff>
      <xdr:row>4</xdr:row>
      <xdr:rowOff>329521</xdr:rowOff>
    </xdr:to>
    <xdr:sp macro="" textlink="">
      <xdr:nvSpPr>
        <xdr:cNvPr id="11" name="Rectangle 10"/>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25953" name="Drop Down 1" hidden="1">
              <a:extLst>
                <a:ext uri="{63B3BB69-23CF-44E3-9099-C40C66FF867C}">
                  <a14:compatExt spid="_x0000_s125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xdr:row>
          <xdr:rowOff>19050</xdr:rowOff>
        </xdr:from>
        <xdr:to>
          <xdr:col>8</xdr:col>
          <xdr:colOff>133350</xdr:colOff>
          <xdr:row>4</xdr:row>
          <xdr:rowOff>295275</xdr:rowOff>
        </xdr:to>
        <xdr:sp macro="" textlink="">
          <xdr:nvSpPr>
            <xdr:cNvPr id="125954" name="Drop Down 2" hidden="1">
              <a:extLst>
                <a:ext uri="{63B3BB69-23CF-44E3-9099-C40C66FF867C}">
                  <a14:compatExt spid="_x0000_s1259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25955" name="Drop Down 3" hidden="1">
              <a:extLst>
                <a:ext uri="{63B3BB69-23CF-44E3-9099-C40C66FF867C}">
                  <a14:compatExt spid="_x0000_s1259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15240</xdr:colOff>
      <xdr:row>4</xdr:row>
      <xdr:rowOff>0</xdr:rowOff>
    </xdr:from>
    <xdr:to>
      <xdr:col>4</xdr:col>
      <xdr:colOff>579120</xdr:colOff>
      <xdr:row>4</xdr:row>
      <xdr:rowOff>327660</xdr:rowOff>
    </xdr:to>
    <xdr:sp macro="" textlink="">
      <xdr:nvSpPr>
        <xdr:cNvPr id="20" name="Rectangle 19"/>
        <xdr:cNvSpPr/>
      </xdr:nvSpPr>
      <xdr:spPr>
        <a:xfrm>
          <a:off x="1356360" y="876300"/>
          <a:ext cx="563880" cy="327660"/>
        </a:xfrm>
        <a:prstGeom prst="rect">
          <a:avLst/>
        </a:prstGeom>
        <a:solidFill>
          <a:schemeClr val="tx2"/>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FOCUS</a:t>
          </a:r>
        </a:p>
        <a:p>
          <a:pPr algn="ctr"/>
          <a:r>
            <a:rPr lang="en-GB" sz="900" b="1" baseline="0">
              <a:solidFill>
                <a:schemeClr val="bg1"/>
              </a:solidFill>
            </a:rPr>
            <a:t>YEAR</a:t>
          </a:r>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600075</xdr:colOff>
          <xdr:row>4</xdr:row>
          <xdr:rowOff>19050</xdr:rowOff>
        </xdr:from>
        <xdr:to>
          <xdr:col>4</xdr:col>
          <xdr:colOff>1314450</xdr:colOff>
          <xdr:row>4</xdr:row>
          <xdr:rowOff>295275</xdr:rowOff>
        </xdr:to>
        <xdr:sp macro="" textlink="">
          <xdr:nvSpPr>
            <xdr:cNvPr id="125956" name="Drop Down 4" hidden="1">
              <a:extLst>
                <a:ext uri="{63B3BB69-23CF-44E3-9099-C40C66FF867C}">
                  <a14:compatExt spid="_x0000_s1259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106678</xdr:colOff>
      <xdr:row>9</xdr:row>
      <xdr:rowOff>91440</xdr:rowOff>
    </xdr:from>
    <xdr:to>
      <xdr:col>6</xdr:col>
      <xdr:colOff>323038</xdr:colOff>
      <xdr:row>19</xdr:row>
      <xdr:rowOff>110273</xdr:rowOff>
    </xdr:to>
    <xdr:grpSp>
      <xdr:nvGrpSpPr>
        <xdr:cNvPr id="21" name="Group 20">
          <a:hlinkClick xmlns:r="http://schemas.openxmlformats.org/officeDocument/2006/relationships" r:id="rId4" tooltip="Comparative Headlines - Compares two years across the key impact measures."/>
        </xdr:cNvPr>
        <xdr:cNvGrpSpPr/>
      </xdr:nvGrpSpPr>
      <xdr:grpSpPr>
        <a:xfrm>
          <a:off x="1402078" y="2091690"/>
          <a:ext cx="1864185" cy="2019083"/>
          <a:chOff x="1402078" y="1684020"/>
          <a:chExt cx="1980002" cy="2076233"/>
        </a:xfrm>
      </xdr:grpSpPr>
      <xdr:sp macro="" textlink="">
        <xdr:nvSpPr>
          <xdr:cNvPr id="27" name="TextBox 26"/>
          <xdr:cNvSpPr txBox="1"/>
        </xdr:nvSpPr>
        <xdr:spPr>
          <a:xfrm>
            <a:off x="1402078" y="1684020"/>
            <a:ext cx="1980000" cy="900000"/>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ysClr val="windowText" lastClr="000000"/>
                </a:solidFill>
              </a:rPr>
              <a:t>Comparative Headlines</a:t>
            </a:r>
            <a:endParaRPr lang="en-GB" sz="1400" b="1" baseline="0">
              <a:solidFill>
                <a:sysClr val="windowText" lastClr="000000"/>
              </a:solidFill>
            </a:endParaRPr>
          </a:p>
          <a:p>
            <a:pPr algn="ctr"/>
            <a:r>
              <a:rPr lang="en-GB" sz="1100" i="1" baseline="0">
                <a:solidFill>
                  <a:schemeClr val="tx1">
                    <a:lumMod val="75000"/>
                    <a:lumOff val="25000"/>
                  </a:schemeClr>
                </a:solidFill>
              </a:rPr>
              <a:t>Compares Performance</a:t>
            </a:r>
          </a:p>
          <a:p>
            <a:pPr algn="ctr"/>
            <a:r>
              <a:rPr lang="en-GB" sz="1100" i="1" baseline="0">
                <a:solidFill>
                  <a:schemeClr val="tx1">
                    <a:lumMod val="75000"/>
                    <a:lumOff val="25000"/>
                  </a:schemeClr>
                </a:solidFill>
              </a:rPr>
              <a:t>between Two Years</a:t>
            </a:r>
          </a:p>
        </xdr:txBody>
      </xdr:sp>
      <mc:AlternateContent xmlns:mc="http://schemas.openxmlformats.org/markup-compatibility/2006" xmlns:a14="http://schemas.microsoft.com/office/drawing/2010/main">
        <mc:Choice Requires="a14">
          <xdr:pic>
            <xdr:nvPicPr>
              <xdr:cNvPr id="33" name="Picture 32"/>
              <xdr:cNvPicPr>
                <a:picLocks noChangeAspect="1" noChangeArrowheads="1"/>
                <a:extLst>
                  <a:ext uri="{84589F7E-364E-4C9E-8A38-B11213B215E9}">
                    <a14:cameraTool cellRange="'COMPARATIVE HEADLINES'!$E$6:$X$36" spid="_x0000_s324544"/>
                  </a:ext>
                </a:extLst>
              </xdr:cNvPicPr>
            </xdr:nvPicPr>
            <xdr:blipFill>
              <a:blip xmlns:r="http://schemas.openxmlformats.org/officeDocument/2006/relationships" r:embed="rId5"/>
              <a:srcRect/>
              <a:stretch>
                <a:fillRect/>
              </a:stretch>
            </xdr:blipFill>
            <xdr:spPr bwMode="auto">
              <a:xfrm>
                <a:off x="1402080" y="248412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6</xdr:col>
      <xdr:colOff>434340</xdr:colOff>
      <xdr:row>9</xdr:row>
      <xdr:rowOff>81915</xdr:rowOff>
    </xdr:from>
    <xdr:to>
      <xdr:col>10</xdr:col>
      <xdr:colOff>452580</xdr:colOff>
      <xdr:row>19</xdr:row>
      <xdr:rowOff>100748</xdr:rowOff>
    </xdr:to>
    <xdr:grpSp>
      <xdr:nvGrpSpPr>
        <xdr:cNvPr id="14" name="Group 13">
          <a:hlinkClick xmlns:r="http://schemas.openxmlformats.org/officeDocument/2006/relationships" r:id="rId6" tooltip="Economic Impact - the combined effect of direct expenditure by tourists and the tourism related indirect and induced expenditure from local business"/>
        </xdr:cNvPr>
        <xdr:cNvGrpSpPr/>
      </xdr:nvGrpSpPr>
      <xdr:grpSpPr>
        <a:xfrm>
          <a:off x="3377565" y="2082165"/>
          <a:ext cx="1961340" cy="2019083"/>
          <a:chOff x="3421380" y="1684020"/>
          <a:chExt cx="1980002" cy="2076233"/>
        </a:xfrm>
      </xdr:grpSpPr>
      <xdr:sp macro="" textlink="">
        <xdr:nvSpPr>
          <xdr:cNvPr id="36" name="TextBox 35"/>
          <xdr:cNvSpPr txBox="1"/>
        </xdr:nvSpPr>
        <xdr:spPr>
          <a:xfrm>
            <a:off x="3421380" y="1684020"/>
            <a:ext cx="1980000" cy="9000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Economic Impact</a:t>
            </a:r>
            <a:endParaRPr lang="en-GB" sz="1400" b="1" baseline="0">
              <a:solidFill>
                <a:srgbClr val="FFFF00"/>
              </a:solidFill>
            </a:endParaRPr>
          </a:p>
          <a:p>
            <a:pPr algn="ctr"/>
            <a:r>
              <a:rPr lang="en-GB" sz="1100" i="1" baseline="0">
                <a:solidFill>
                  <a:schemeClr val="bg1"/>
                </a:solidFill>
              </a:rPr>
              <a:t>Combined Direct and</a:t>
            </a:r>
          </a:p>
          <a:p>
            <a:pPr algn="ctr"/>
            <a:r>
              <a:rPr lang="en-GB" sz="1100" i="1" baseline="0">
                <a:solidFill>
                  <a:schemeClr val="bg1"/>
                </a:solidFill>
              </a:rPr>
              <a:t>Indirect Expenditure</a:t>
            </a:r>
            <a:endParaRPr lang="en-GB" sz="1100" i="1">
              <a:solidFill>
                <a:schemeClr val="bg1"/>
              </a:solidFill>
            </a:endParaRPr>
          </a:p>
        </xdr:txBody>
      </xdr:sp>
      <mc:AlternateContent xmlns:mc="http://schemas.openxmlformats.org/markup-compatibility/2006" xmlns:a14="http://schemas.microsoft.com/office/drawing/2010/main">
        <mc:Choice Requires="a14">
          <xdr:pic>
            <xdr:nvPicPr>
              <xdr:cNvPr id="37" name="Picture 36"/>
              <xdr:cNvPicPr>
                <a:picLocks noChangeAspect="1" noChangeArrowheads="1"/>
                <a:extLst>
                  <a:ext uri="{84589F7E-364E-4C9E-8A38-B11213B215E9}">
                    <a14:cameraTool cellRange="'ECONOMIC IMPACT'!$E$6:$X$35" spid="_x0000_s324545"/>
                  </a:ext>
                </a:extLst>
              </xdr:cNvPicPr>
            </xdr:nvPicPr>
            <xdr:blipFill>
              <a:blip xmlns:r="http://schemas.openxmlformats.org/officeDocument/2006/relationships" r:embed="rId7"/>
              <a:srcRect/>
              <a:stretch>
                <a:fillRect/>
              </a:stretch>
            </xdr:blipFill>
            <xdr:spPr bwMode="auto">
              <a:xfrm>
                <a:off x="3421382" y="248412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15</xdr:col>
      <xdr:colOff>236220</xdr:colOff>
      <xdr:row>9</xdr:row>
      <xdr:rowOff>83820</xdr:rowOff>
    </xdr:from>
    <xdr:to>
      <xdr:col>19</xdr:col>
      <xdr:colOff>254460</xdr:colOff>
      <xdr:row>19</xdr:row>
      <xdr:rowOff>102653</xdr:rowOff>
    </xdr:to>
    <xdr:grpSp>
      <xdr:nvGrpSpPr>
        <xdr:cNvPr id="52" name="Group 51">
          <a:hlinkClick xmlns:r="http://schemas.openxmlformats.org/officeDocument/2006/relationships" r:id="rId8" tooltip="Visitor Days - the number of nights spent by staying visitors and the number of days spent by day visitors to the area"/>
        </xdr:cNvPr>
        <xdr:cNvGrpSpPr/>
      </xdr:nvGrpSpPr>
      <xdr:grpSpPr>
        <a:xfrm>
          <a:off x="7551420" y="2084070"/>
          <a:ext cx="1961340" cy="2019083"/>
          <a:chOff x="7475220" y="1676400"/>
          <a:chExt cx="1980002" cy="2076233"/>
        </a:xfrm>
      </xdr:grpSpPr>
      <xdr:sp macro="" textlink="">
        <xdr:nvSpPr>
          <xdr:cNvPr id="46" name="TextBox 45"/>
          <xdr:cNvSpPr txBox="1"/>
        </xdr:nvSpPr>
        <xdr:spPr>
          <a:xfrm>
            <a:off x="7475220" y="1676400"/>
            <a:ext cx="1980000" cy="900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Visitor</a:t>
            </a:r>
            <a:r>
              <a:rPr lang="en-GB" sz="1400" b="1" baseline="0">
                <a:solidFill>
                  <a:srgbClr val="FFFF00"/>
                </a:solidFill>
              </a:rPr>
              <a:t> Days</a:t>
            </a:r>
          </a:p>
          <a:p>
            <a:pPr algn="ctr"/>
            <a:r>
              <a:rPr lang="en-GB" sz="1100" i="1" baseline="0">
                <a:solidFill>
                  <a:schemeClr val="bg1"/>
                </a:solidFill>
              </a:rPr>
              <a:t>The Number of Days / Nights Spent by Visitors to the Area</a:t>
            </a:r>
            <a:endParaRPr lang="en-GB" sz="1100" i="1">
              <a:solidFill>
                <a:schemeClr val="bg1"/>
              </a:solidFill>
            </a:endParaRPr>
          </a:p>
        </xdr:txBody>
      </xdr:sp>
      <mc:AlternateContent xmlns:mc="http://schemas.openxmlformats.org/markup-compatibility/2006" xmlns:a14="http://schemas.microsoft.com/office/drawing/2010/main">
        <mc:Choice Requires="a14">
          <xdr:pic>
            <xdr:nvPicPr>
              <xdr:cNvPr id="47" name="Picture 46"/>
              <xdr:cNvPicPr>
                <a:picLocks noChangeAspect="1" noChangeArrowheads="1"/>
                <a:extLst>
                  <a:ext uri="{84589F7E-364E-4C9E-8A38-B11213B215E9}">
                    <a14:cameraTool cellRange="'VISITOR DAYS'!$E$6:$X$35" spid="_x0000_s324546"/>
                  </a:ext>
                </a:extLst>
              </xdr:cNvPicPr>
            </xdr:nvPicPr>
            <xdr:blipFill>
              <a:blip xmlns:r="http://schemas.openxmlformats.org/officeDocument/2006/relationships" r:embed="rId9"/>
              <a:srcRect/>
              <a:stretch>
                <a:fillRect/>
              </a:stretch>
            </xdr:blipFill>
            <xdr:spPr bwMode="auto">
              <a:xfrm>
                <a:off x="7475222" y="247650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11</xdr:col>
      <xdr:colOff>99060</xdr:colOff>
      <xdr:row>9</xdr:row>
      <xdr:rowOff>91439</xdr:rowOff>
    </xdr:from>
    <xdr:to>
      <xdr:col>15</xdr:col>
      <xdr:colOff>117300</xdr:colOff>
      <xdr:row>19</xdr:row>
      <xdr:rowOff>110271</xdr:rowOff>
    </xdr:to>
    <xdr:grpSp>
      <xdr:nvGrpSpPr>
        <xdr:cNvPr id="34" name="Group 33">
          <a:hlinkClick xmlns:r="http://schemas.openxmlformats.org/officeDocument/2006/relationships" r:id="rId10" tooltip="Visitor Numbers - the number of tourism trips or visits made by individuals to the area"/>
        </xdr:cNvPr>
        <xdr:cNvGrpSpPr/>
      </xdr:nvGrpSpPr>
      <xdr:grpSpPr>
        <a:xfrm>
          <a:off x="5471160" y="2091689"/>
          <a:ext cx="1961340" cy="2019082"/>
          <a:chOff x="5448300" y="1684020"/>
          <a:chExt cx="1980002" cy="2076233"/>
        </a:xfrm>
      </xdr:grpSpPr>
      <xdr:sp macro="" textlink="">
        <xdr:nvSpPr>
          <xdr:cNvPr id="48" name="TextBox 47"/>
          <xdr:cNvSpPr txBox="1"/>
        </xdr:nvSpPr>
        <xdr:spPr>
          <a:xfrm>
            <a:off x="5448300" y="1684020"/>
            <a:ext cx="1980000" cy="900000"/>
          </a:xfrm>
          <a:prstGeom prst="rect">
            <a:avLst/>
          </a:prstGeom>
          <a:solidFill>
            <a:srgbClr val="00B05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Visitor</a:t>
            </a:r>
            <a:r>
              <a:rPr lang="en-GB" sz="1400" b="1" baseline="0">
                <a:solidFill>
                  <a:srgbClr val="FFFF00"/>
                </a:solidFill>
              </a:rPr>
              <a:t> Numbers</a:t>
            </a:r>
          </a:p>
          <a:p>
            <a:pPr algn="ctr"/>
            <a:r>
              <a:rPr lang="en-GB" sz="1100" i="1" baseline="0">
                <a:solidFill>
                  <a:schemeClr val="bg1"/>
                </a:solidFill>
              </a:rPr>
              <a:t>The Number of Tourism Visits</a:t>
            </a:r>
          </a:p>
          <a:p>
            <a:pPr algn="ctr"/>
            <a:r>
              <a:rPr lang="en-GB" sz="1100" i="1" baseline="0">
                <a:solidFill>
                  <a:schemeClr val="bg1"/>
                </a:solidFill>
              </a:rPr>
              <a:t>to the Area</a:t>
            </a:r>
            <a:endParaRPr lang="en-GB" sz="1100">
              <a:solidFill>
                <a:srgbClr val="FFFF00"/>
              </a:solidFill>
              <a:effectLst/>
            </a:endParaRPr>
          </a:p>
          <a:p>
            <a:pPr algn="ctr"/>
            <a:endParaRPr lang="en-GB" sz="900" i="1">
              <a:solidFill>
                <a:schemeClr val="bg1"/>
              </a:solidFill>
            </a:endParaRPr>
          </a:p>
        </xdr:txBody>
      </xdr:sp>
      <mc:AlternateContent xmlns:mc="http://schemas.openxmlformats.org/markup-compatibility/2006" xmlns:a14="http://schemas.microsoft.com/office/drawing/2010/main">
        <mc:Choice Requires="a14">
          <xdr:pic>
            <xdr:nvPicPr>
              <xdr:cNvPr id="49" name="Picture 48"/>
              <xdr:cNvPicPr>
                <a:picLocks noChangeAspect="1" noChangeArrowheads="1"/>
                <a:extLst>
                  <a:ext uri="{84589F7E-364E-4C9E-8A38-B11213B215E9}">
                    <a14:cameraTool cellRange="'VISITOR NUMBERS'!$E$6:$X$35" spid="_x0000_s324547"/>
                  </a:ext>
                </a:extLst>
              </xdr:cNvPicPr>
            </xdr:nvPicPr>
            <xdr:blipFill>
              <a:blip xmlns:r="http://schemas.openxmlformats.org/officeDocument/2006/relationships" r:embed="rId11"/>
              <a:srcRect/>
              <a:stretch>
                <a:fillRect/>
              </a:stretch>
            </xdr:blipFill>
            <xdr:spPr bwMode="auto">
              <a:xfrm>
                <a:off x="5448302" y="248412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19</xdr:col>
      <xdr:colOff>365758</xdr:colOff>
      <xdr:row>9</xdr:row>
      <xdr:rowOff>83820</xdr:rowOff>
    </xdr:from>
    <xdr:to>
      <xdr:col>23</xdr:col>
      <xdr:colOff>391618</xdr:colOff>
      <xdr:row>19</xdr:row>
      <xdr:rowOff>102653</xdr:rowOff>
    </xdr:to>
    <xdr:grpSp>
      <xdr:nvGrpSpPr>
        <xdr:cNvPr id="53" name="Group 52">
          <a:hlinkClick xmlns:r="http://schemas.openxmlformats.org/officeDocument/2006/relationships" r:id="rId12" tooltip="Employment - Full Time Equivalent jobs supported by tourism activity both 'direct employment' in businesses supplying goods and services to visitors and 'indirect' through the local supply chain"/>
        </xdr:cNvPr>
        <xdr:cNvGrpSpPr/>
      </xdr:nvGrpSpPr>
      <xdr:grpSpPr>
        <a:xfrm>
          <a:off x="9624058" y="2084070"/>
          <a:ext cx="1968960" cy="2019083"/>
          <a:chOff x="9494232" y="1676400"/>
          <a:chExt cx="1987910" cy="2076233"/>
        </a:xfrm>
      </xdr:grpSpPr>
      <xdr:sp macro="" textlink="">
        <xdr:nvSpPr>
          <xdr:cNvPr id="50" name="TextBox 49"/>
          <xdr:cNvSpPr txBox="1"/>
        </xdr:nvSpPr>
        <xdr:spPr>
          <a:xfrm>
            <a:off x="9494232" y="1676400"/>
            <a:ext cx="1980000" cy="90000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ysClr val="windowText" lastClr="000000"/>
                </a:solidFill>
              </a:rPr>
              <a:t>Employment Supported</a:t>
            </a:r>
            <a:endParaRPr lang="en-GB" sz="1400" b="1" baseline="0">
              <a:solidFill>
                <a:sysClr val="windowText" lastClr="000000"/>
              </a:solidFill>
            </a:endParaRPr>
          </a:p>
          <a:p>
            <a:pPr algn="ctr"/>
            <a:r>
              <a:rPr lang="en-GB" sz="1100" i="1" baseline="0">
                <a:solidFill>
                  <a:schemeClr val="tx1">
                    <a:lumMod val="65000"/>
                    <a:lumOff val="35000"/>
                  </a:schemeClr>
                </a:solidFill>
              </a:rPr>
              <a:t>The Number of Employees (FTEs) Supported Directly and Indirectly by Tourism</a:t>
            </a:r>
          </a:p>
        </xdr:txBody>
      </xdr:sp>
      <mc:AlternateContent xmlns:mc="http://schemas.openxmlformats.org/markup-compatibility/2006" xmlns:a14="http://schemas.microsoft.com/office/drawing/2010/main">
        <mc:Choice Requires="a14">
          <xdr:pic>
            <xdr:nvPicPr>
              <xdr:cNvPr id="51" name="Picture 50"/>
              <xdr:cNvPicPr>
                <a:picLocks noChangeAspect="1" noChangeArrowheads="1"/>
                <a:extLst>
                  <a:ext uri="{84589F7E-364E-4C9E-8A38-B11213B215E9}">
                    <a14:cameraTool cellRange="EMPLOYMENT!$E$6:$X$35" spid="_x0000_s324548"/>
                  </a:ext>
                </a:extLst>
              </xdr:cNvPicPr>
            </xdr:nvPicPr>
            <xdr:blipFill>
              <a:blip xmlns:r="http://schemas.openxmlformats.org/officeDocument/2006/relationships" r:embed="rId13"/>
              <a:srcRect/>
              <a:stretch>
                <a:fillRect/>
              </a:stretch>
            </xdr:blipFill>
            <xdr:spPr bwMode="auto">
              <a:xfrm>
                <a:off x="9502142" y="247650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7</xdr:col>
      <xdr:colOff>243840</xdr:colOff>
      <xdr:row>1</xdr:row>
      <xdr:rowOff>129540</xdr:rowOff>
    </xdr:from>
    <xdr:to>
      <xdr:col>22</xdr:col>
      <xdr:colOff>190500</xdr:colOff>
      <xdr:row>2</xdr:row>
      <xdr:rowOff>228600</xdr:rowOff>
    </xdr:to>
    <xdr:sp macro="" textlink="">
      <xdr:nvSpPr>
        <xdr:cNvPr id="58" name="Rectangle 57"/>
        <xdr:cNvSpPr/>
      </xdr:nvSpPr>
      <xdr:spPr>
        <a:xfrm>
          <a:off x="3749040" y="1295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will bring you back to this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240030</xdr:colOff>
      <xdr:row>2</xdr:row>
      <xdr:rowOff>49530</xdr:rowOff>
    </xdr:from>
    <xdr:to>
      <xdr:col>23</xdr:col>
      <xdr:colOff>198120</xdr:colOff>
      <xdr:row>2</xdr:row>
      <xdr:rowOff>320040</xdr:rowOff>
    </xdr:to>
    <xdr:sp macro="" textlink="">
      <xdr:nvSpPr>
        <xdr:cNvPr id="54" name="Bent Arrow 53"/>
        <xdr:cNvSpPr/>
      </xdr:nvSpPr>
      <xdr:spPr>
        <a:xfrm rot="5400000">
          <a:off x="10911840" y="1752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91438</xdr:colOff>
      <xdr:row>21</xdr:row>
      <xdr:rowOff>91440</xdr:rowOff>
    </xdr:from>
    <xdr:to>
      <xdr:col>6</xdr:col>
      <xdr:colOff>307798</xdr:colOff>
      <xdr:row>31</xdr:row>
      <xdr:rowOff>110273</xdr:rowOff>
    </xdr:to>
    <xdr:grpSp>
      <xdr:nvGrpSpPr>
        <xdr:cNvPr id="7" name="Group 6">
          <a:hlinkClick xmlns:r="http://schemas.openxmlformats.org/officeDocument/2006/relationships" r:id="rId14" tooltip="Key Measures - Economic Impact, Tourist Numbers, Tourist Days and Employment for the Trend Period"/>
        </xdr:cNvPr>
        <xdr:cNvGrpSpPr/>
      </xdr:nvGrpSpPr>
      <xdr:grpSpPr>
        <a:xfrm>
          <a:off x="1386838" y="4491990"/>
          <a:ext cx="1864185" cy="2019083"/>
          <a:chOff x="1432558" y="4594860"/>
          <a:chExt cx="1908000" cy="2076233"/>
        </a:xfrm>
      </xdr:grpSpPr>
      <xdr:sp macro="" textlink="">
        <xdr:nvSpPr>
          <xdr:cNvPr id="61" name="TextBox 60"/>
          <xdr:cNvSpPr txBox="1"/>
        </xdr:nvSpPr>
        <xdr:spPr>
          <a:xfrm>
            <a:off x="1432558" y="4594860"/>
            <a:ext cx="1907998" cy="900000"/>
          </a:xfrm>
          <a:prstGeom prst="rect">
            <a:avLst/>
          </a:prstGeom>
          <a:solidFill>
            <a:schemeClr val="accent4"/>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Key Measures</a:t>
            </a:r>
            <a:endParaRPr lang="en-GB" sz="1400" b="1" baseline="0">
              <a:solidFill>
                <a:srgbClr val="FFFF00"/>
              </a:solidFill>
            </a:endParaRPr>
          </a:p>
          <a:p>
            <a:pPr algn="ctr"/>
            <a:r>
              <a:rPr lang="en-GB" sz="1100" i="1" baseline="0">
                <a:solidFill>
                  <a:schemeClr val="bg1"/>
                </a:solidFill>
              </a:rPr>
              <a:t>The Four Key STEAM Impact Measures for the Trend Period</a:t>
            </a:r>
            <a:endParaRPr lang="en-GB" sz="1100" i="1">
              <a:solidFill>
                <a:schemeClr val="bg1"/>
              </a:solidFill>
            </a:endParaRPr>
          </a:p>
        </xdr:txBody>
      </xdr:sp>
      <mc:AlternateContent xmlns:mc="http://schemas.openxmlformats.org/markup-compatibility/2006" xmlns:a14="http://schemas.microsoft.com/office/drawing/2010/main">
        <mc:Choice Requires="a14">
          <xdr:pic>
            <xdr:nvPicPr>
              <xdr:cNvPr id="62" name="Picture 61"/>
              <xdr:cNvPicPr>
                <a:picLocks noChangeAspect="1" noChangeArrowheads="1"/>
                <a:extLst>
                  <a:ext uri="{84589F7E-364E-4C9E-8A38-B11213B215E9}">
                    <a14:cameraTool cellRange="'KEY MEASURES'!$E$6:$X$38" spid="_x0000_s324549"/>
                  </a:ext>
                </a:extLst>
              </xdr:cNvPicPr>
            </xdr:nvPicPr>
            <xdr:blipFill>
              <a:blip xmlns:r="http://schemas.openxmlformats.org/officeDocument/2006/relationships" r:embed="rId15"/>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22</xdr:col>
      <xdr:colOff>190500</xdr:colOff>
      <xdr:row>5</xdr:row>
      <xdr:rowOff>68581</xdr:rowOff>
    </xdr:from>
    <xdr:to>
      <xdr:col>23</xdr:col>
      <xdr:colOff>194012</xdr:colOff>
      <xdr:row>6</xdr:row>
      <xdr:rowOff>160021</xdr:rowOff>
    </xdr:to>
    <xdr:pic>
      <xdr:nvPicPr>
        <xdr:cNvPr id="63" name="Picture 6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782300" y="1280161"/>
          <a:ext cx="475952" cy="297180"/>
        </a:xfrm>
        <a:prstGeom prst="rect">
          <a:avLst/>
        </a:prstGeom>
        <a:noFill/>
      </xdr:spPr>
    </xdr:pic>
    <xdr:clientData/>
  </xdr:twoCellAnchor>
  <xdr:twoCellAnchor>
    <xdr:from>
      <xdr:col>7</xdr:col>
      <xdr:colOff>411480</xdr:colOff>
      <xdr:row>3</xdr:row>
      <xdr:rowOff>304800</xdr:rowOff>
    </xdr:from>
    <xdr:to>
      <xdr:col>9</xdr:col>
      <xdr:colOff>419100</xdr:colOff>
      <xdr:row>4</xdr:row>
      <xdr:rowOff>329520</xdr:rowOff>
    </xdr:to>
    <xdr:sp macro="" textlink="">
      <xdr:nvSpPr>
        <xdr:cNvPr id="66" name="Rectangle 65"/>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26009" name="Drop Down 57" hidden="1">
              <a:extLst>
                <a:ext uri="{63B3BB69-23CF-44E3-9099-C40C66FF867C}">
                  <a14:compatExt spid="_x0000_s1260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83820</xdr:colOff>
      <xdr:row>33</xdr:row>
      <xdr:rowOff>60960</xdr:rowOff>
    </xdr:from>
    <xdr:to>
      <xdr:col>6</xdr:col>
      <xdr:colOff>300178</xdr:colOff>
      <xdr:row>35</xdr:row>
      <xdr:rowOff>129540</xdr:rowOff>
    </xdr:to>
    <xdr:grpSp>
      <xdr:nvGrpSpPr>
        <xdr:cNvPr id="15" name="Group 14"/>
        <xdr:cNvGrpSpPr/>
      </xdr:nvGrpSpPr>
      <xdr:grpSpPr>
        <a:xfrm>
          <a:off x="1379220" y="6861810"/>
          <a:ext cx="1864183" cy="468630"/>
          <a:chOff x="1424940" y="7033260"/>
          <a:chExt cx="1907998" cy="480060"/>
        </a:xfrm>
      </xdr:grpSpPr>
      <xdr:sp macro="" textlink="">
        <xdr:nvSpPr>
          <xdr:cNvPr id="73" name="TextBox 72">
            <a:hlinkClick xmlns:r="http://schemas.openxmlformats.org/officeDocument/2006/relationships" r:id="rId17" tooltip="User Guide - Basic Information about this Report and Its Operation"/>
          </xdr:cNvPr>
          <xdr:cNvSpPr txBox="1"/>
        </xdr:nvSpPr>
        <xdr:spPr>
          <a:xfrm>
            <a:off x="1424940" y="7033260"/>
            <a:ext cx="1907998" cy="480060"/>
          </a:xfrm>
          <a:prstGeom prst="rect">
            <a:avLst/>
          </a:prstGeom>
          <a:solidFill>
            <a:srgbClr val="00B0F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0" tIns="36000" rIns="0" bIns="0" rtlCol="0" anchor="t" anchorCtr="0"/>
          <a:lstStyle/>
          <a:p>
            <a:pPr algn="ctr"/>
            <a:r>
              <a:rPr lang="en-GB" sz="900" b="1">
                <a:solidFill>
                  <a:srgbClr val="FFFF00"/>
                </a:solidFill>
              </a:rPr>
              <a:t>User Guide</a:t>
            </a:r>
          </a:p>
          <a:p>
            <a:pPr algn="ctr"/>
            <a:r>
              <a:rPr lang="en-GB" sz="900" b="0" i="1">
                <a:solidFill>
                  <a:schemeClr val="bg1"/>
                </a:solidFill>
              </a:rPr>
              <a:t>Making</a:t>
            </a:r>
            <a:r>
              <a:rPr lang="en-GB" sz="900" b="0" i="1" baseline="0">
                <a:solidFill>
                  <a:schemeClr val="bg1"/>
                </a:solidFill>
              </a:rPr>
              <a:t> the Most of your</a:t>
            </a:r>
          </a:p>
          <a:p>
            <a:pPr algn="ctr"/>
            <a:r>
              <a:rPr lang="en-GB" sz="900" b="0" i="1" baseline="0">
                <a:solidFill>
                  <a:schemeClr val="bg1"/>
                </a:solidFill>
              </a:rPr>
              <a:t>STEAM Report</a:t>
            </a:r>
            <a:endParaRPr lang="en-GB" sz="900" b="0" i="1">
              <a:solidFill>
                <a:schemeClr val="bg1"/>
              </a:solidFill>
            </a:endParaRPr>
          </a:p>
        </xdr:txBody>
      </xdr:sp>
      <xdr:pic>
        <xdr:nvPicPr>
          <xdr:cNvPr id="75" name="Picture 12"/>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bwMode="auto">
          <a:xfrm>
            <a:off x="1463040" y="7078979"/>
            <a:ext cx="388620" cy="392509"/>
          </a:xfrm>
          <a:prstGeom prst="roundRect">
            <a:avLst>
              <a:gd name="adj" fmla="val 8594"/>
            </a:avLst>
          </a:prstGeom>
          <a:solidFill>
            <a:srgbClr val="00B0F0"/>
          </a:solidFill>
          <a:ln>
            <a:noFill/>
          </a:ln>
          <a:effectLst>
            <a:softEdge rad="12700"/>
          </a:effectLst>
        </xdr:spPr>
      </xdr:pic>
    </xdr:grpSp>
    <xdr:clientData/>
  </xdr:twoCellAnchor>
  <xdr:twoCellAnchor>
    <xdr:from>
      <xdr:col>19</xdr:col>
      <xdr:colOff>68580</xdr:colOff>
      <xdr:row>33</xdr:row>
      <xdr:rowOff>60960</xdr:rowOff>
    </xdr:from>
    <xdr:to>
      <xdr:col>23</xdr:col>
      <xdr:colOff>388620</xdr:colOff>
      <xdr:row>35</xdr:row>
      <xdr:rowOff>129540</xdr:rowOff>
    </xdr:to>
    <xdr:grpSp>
      <xdr:nvGrpSpPr>
        <xdr:cNvPr id="2" name="Group 1"/>
        <xdr:cNvGrpSpPr/>
      </xdr:nvGrpSpPr>
      <xdr:grpSpPr>
        <a:xfrm>
          <a:off x="9326880" y="6861810"/>
          <a:ext cx="2263140" cy="468630"/>
          <a:chOff x="9243060" y="7033260"/>
          <a:chExt cx="2209800" cy="480060"/>
        </a:xfrm>
      </xdr:grpSpPr>
      <xdr:sp macro="" textlink="">
        <xdr:nvSpPr>
          <xdr:cNvPr id="89" name="TextBox 88">
            <a:hlinkClick xmlns:r="http://schemas.openxmlformats.org/officeDocument/2006/relationships" r:id="rId19" tooltip="Data Table"/>
          </xdr:cNvPr>
          <xdr:cNvSpPr txBox="1"/>
        </xdr:nvSpPr>
        <xdr:spPr>
          <a:xfrm>
            <a:off x="9243060" y="7033260"/>
            <a:ext cx="2209800" cy="48006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288000" tIns="36000" rIns="0" bIns="0" rtlCol="0" anchor="t" anchorCtr="0"/>
          <a:lstStyle/>
          <a:p>
            <a:pPr marL="0" indent="0" algn="ctr"/>
            <a:r>
              <a:rPr lang="en-GB" sz="900" b="1">
                <a:solidFill>
                  <a:sysClr val="windowText" lastClr="000000"/>
                </a:solidFill>
                <a:latin typeface="+mn-lt"/>
                <a:ea typeface="+mn-ea"/>
                <a:cs typeface="+mn-cs"/>
              </a:rPr>
              <a:t>Data</a:t>
            </a:r>
            <a:r>
              <a:rPr lang="en-GB" sz="900" b="1" baseline="0">
                <a:solidFill>
                  <a:sysClr val="windowText" lastClr="000000"/>
                </a:solidFill>
                <a:latin typeface="+mn-lt"/>
                <a:ea typeface="+mn-ea"/>
                <a:cs typeface="+mn-cs"/>
              </a:rPr>
              <a:t> Table</a:t>
            </a:r>
            <a:endParaRPr lang="en-GB" sz="900" b="1">
              <a:solidFill>
                <a:sysClr val="windowText" lastClr="000000"/>
              </a:solidFill>
              <a:latin typeface="+mn-lt"/>
              <a:ea typeface="+mn-ea"/>
              <a:cs typeface="+mn-cs"/>
            </a:endParaRPr>
          </a:p>
          <a:p>
            <a:pPr marL="0" indent="0" algn="ctr"/>
            <a:r>
              <a:rPr lang="en-GB" sz="900" b="0" i="1">
                <a:solidFill>
                  <a:sysClr val="windowText" lastClr="000000"/>
                </a:solidFill>
                <a:latin typeface="+mn-lt"/>
                <a:ea typeface="+mn-ea"/>
                <a:cs typeface="+mn-cs"/>
              </a:rPr>
              <a:t>Monthly Data Supplied</a:t>
            </a:r>
          </a:p>
          <a:p>
            <a:pPr marL="0" indent="0" algn="ctr"/>
            <a:r>
              <a:rPr lang="en-GB" sz="900" b="0" i="1">
                <a:solidFill>
                  <a:sysClr val="windowText" lastClr="000000"/>
                </a:solidFill>
                <a:latin typeface="+mn-lt"/>
                <a:ea typeface="+mn-ea"/>
                <a:cs typeface="+mn-cs"/>
              </a:rPr>
              <a:t>for</a:t>
            </a:r>
            <a:r>
              <a:rPr lang="en-GB" sz="900" b="0" i="1" baseline="0">
                <a:solidFill>
                  <a:sysClr val="windowText" lastClr="000000"/>
                </a:solidFill>
                <a:latin typeface="+mn-lt"/>
                <a:ea typeface="+mn-ea"/>
                <a:cs typeface="+mn-cs"/>
              </a:rPr>
              <a:t> all Measures and Years</a:t>
            </a:r>
            <a:endParaRPr lang="en-GB" sz="900" b="0" i="1">
              <a:solidFill>
                <a:sysClr val="windowText" lastClr="000000"/>
              </a:solidFill>
              <a:latin typeface="+mn-lt"/>
              <a:ea typeface="+mn-ea"/>
              <a:cs typeface="+mn-cs"/>
            </a:endParaRPr>
          </a:p>
        </xdr:txBody>
      </xdr:sp>
      <xdr:pic>
        <xdr:nvPicPr>
          <xdr:cNvPr id="91" name="Picture 10" descr="C:\Users\DC\AppData\Local\Microsoft\Windows\Temporary Internet Files\Content.IE5\UGNFM3Q5\MC900023604[1].wmf"/>
          <xdr:cNvPicPr>
            <a:picLocks noChangeAspect="1" noChangeArrowheads="1"/>
          </xdr:cNvPicPr>
        </xdr:nvPicPr>
        <xdr:blipFill>
          <a:blip xmlns:r="http://schemas.openxmlformats.org/officeDocument/2006/relationships" r:embed="rId20" cstate="print"/>
          <a:srcRect/>
          <a:stretch>
            <a:fillRect/>
          </a:stretch>
        </xdr:blipFill>
        <xdr:spPr bwMode="auto">
          <a:xfrm>
            <a:off x="9334500" y="7117080"/>
            <a:ext cx="294568" cy="315729"/>
          </a:xfrm>
          <a:prstGeom prst="rect">
            <a:avLst/>
          </a:prstGeom>
          <a:solidFill>
            <a:srgbClr val="FFFF00"/>
          </a:solidFill>
        </xdr:spPr>
      </xdr:pic>
    </xdr:grpSp>
    <xdr:clientData/>
  </xdr:twoCellAnchor>
  <xdr:twoCellAnchor>
    <xdr:from>
      <xdr:col>11</xdr:col>
      <xdr:colOff>68580</xdr:colOff>
      <xdr:row>33</xdr:row>
      <xdr:rowOff>60960</xdr:rowOff>
    </xdr:from>
    <xdr:to>
      <xdr:col>14</xdr:col>
      <xdr:colOff>373380</xdr:colOff>
      <xdr:row>35</xdr:row>
      <xdr:rowOff>129540</xdr:rowOff>
    </xdr:to>
    <xdr:sp macro="" textlink="">
      <xdr:nvSpPr>
        <xdr:cNvPr id="78" name="TextBox 77">
          <a:hlinkClick xmlns:r="http://schemas.openxmlformats.org/officeDocument/2006/relationships" r:id="rId21" tooltip="Cover Sheet - for printing as required"/>
        </xdr:cNvPr>
        <xdr:cNvSpPr txBox="1"/>
      </xdr:nvSpPr>
      <xdr:spPr>
        <a:xfrm>
          <a:off x="5297805" y="6861810"/>
          <a:ext cx="1676400" cy="46863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252000" tIns="36000" rIns="0" bIns="0" rtlCol="0" anchor="t" anchorCtr="0"/>
        <a:lstStyle/>
        <a:p>
          <a:pPr algn="ctr"/>
          <a:r>
            <a:rPr lang="en-GB" sz="900" b="1">
              <a:solidFill>
                <a:srgbClr val="FFFF00"/>
              </a:solidFill>
            </a:rPr>
            <a:t>Cover</a:t>
          </a:r>
        </a:p>
        <a:p>
          <a:pPr algn="ctr"/>
          <a:r>
            <a:rPr lang="en-GB" sz="900" b="0" i="1">
              <a:solidFill>
                <a:schemeClr val="bg1"/>
              </a:solidFill>
            </a:rPr>
            <a:t>Your Report</a:t>
          </a:r>
        </a:p>
        <a:p>
          <a:pPr algn="ctr"/>
          <a:r>
            <a:rPr lang="en-GB" sz="900" b="0" i="1">
              <a:solidFill>
                <a:schemeClr val="bg1"/>
              </a:solidFill>
            </a:rPr>
            <a:t>Cover Page</a:t>
          </a:r>
        </a:p>
      </xdr:txBody>
    </xdr:sp>
    <xdr:clientData/>
  </xdr:twoCellAnchor>
  <xdr:twoCellAnchor>
    <xdr:from>
      <xdr:col>15</xdr:col>
      <xdr:colOff>99060</xdr:colOff>
      <xdr:row>33</xdr:row>
      <xdr:rowOff>60960</xdr:rowOff>
    </xdr:from>
    <xdr:to>
      <xdr:col>18</xdr:col>
      <xdr:colOff>403860</xdr:colOff>
      <xdr:row>35</xdr:row>
      <xdr:rowOff>129540</xdr:rowOff>
    </xdr:to>
    <xdr:grpSp>
      <xdr:nvGrpSpPr>
        <xdr:cNvPr id="10" name="Group 9"/>
        <xdr:cNvGrpSpPr/>
      </xdr:nvGrpSpPr>
      <xdr:grpSpPr>
        <a:xfrm>
          <a:off x="7414260" y="6861810"/>
          <a:ext cx="1762125" cy="468630"/>
          <a:chOff x="7383780" y="7033260"/>
          <a:chExt cx="1722120" cy="480060"/>
        </a:xfrm>
      </xdr:grpSpPr>
      <xdr:sp macro="" textlink="">
        <xdr:nvSpPr>
          <xdr:cNvPr id="79" name="TextBox 78">
            <a:hlinkClick xmlns:r="http://schemas.openxmlformats.org/officeDocument/2006/relationships" r:id="rId22" tooltip="Contents Page"/>
          </xdr:cNvPr>
          <xdr:cNvSpPr txBox="1"/>
        </xdr:nvSpPr>
        <xdr:spPr>
          <a:xfrm>
            <a:off x="7383780" y="7033260"/>
            <a:ext cx="1722120" cy="48006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76000" tIns="36000" rIns="0" bIns="0" rtlCol="0" anchor="t" anchorCtr="0"/>
          <a:lstStyle/>
          <a:p>
            <a:pPr marL="0" indent="0" algn="ctr"/>
            <a:r>
              <a:rPr lang="en-GB" sz="900" b="1">
                <a:solidFill>
                  <a:srgbClr val="FFFF00"/>
                </a:solidFill>
                <a:latin typeface="+mn-lt"/>
                <a:ea typeface="+mn-ea"/>
                <a:cs typeface="+mn-cs"/>
              </a:rPr>
              <a:t>Contents</a:t>
            </a:r>
          </a:p>
          <a:p>
            <a:pPr marL="0" indent="0" algn="ctr"/>
            <a:r>
              <a:rPr lang="en-GB" sz="900" b="0" i="1">
                <a:solidFill>
                  <a:schemeClr val="bg1"/>
                </a:solidFill>
                <a:latin typeface="+mn-lt"/>
                <a:ea typeface="+mn-ea"/>
                <a:cs typeface="+mn-cs"/>
              </a:rPr>
              <a:t>Your Report</a:t>
            </a:r>
          </a:p>
          <a:p>
            <a:pPr marL="0" indent="0" algn="ctr"/>
            <a:r>
              <a:rPr lang="en-GB" sz="900" b="0" i="1">
                <a:solidFill>
                  <a:schemeClr val="bg1"/>
                </a:solidFill>
                <a:latin typeface="+mn-lt"/>
                <a:ea typeface="+mn-ea"/>
                <a:cs typeface="+mn-cs"/>
              </a:rPr>
              <a:t>Contents Page</a:t>
            </a:r>
          </a:p>
        </xdr:txBody>
      </xdr:sp>
      <mc:AlternateContent xmlns:mc="http://schemas.openxmlformats.org/markup-compatibility/2006" xmlns:a14="http://schemas.microsoft.com/office/drawing/2010/main">
        <mc:Choice Requires="a14">
          <xdr:pic>
            <xdr:nvPicPr>
              <xdr:cNvPr id="93" name="Picture 92">
                <a:hlinkClick xmlns:r="http://schemas.openxmlformats.org/officeDocument/2006/relationships" r:id="rId23" tooltip="Contents Page"/>
              </xdr:cNvPr>
              <xdr:cNvPicPr>
                <a:picLocks noChangeAspect="1" noChangeArrowheads="1"/>
                <a:extLst>
                  <a:ext uri="{84589F7E-364E-4C9E-8A38-B11213B215E9}">
                    <a14:cameraTool cellRange="CONTENTS!$E$6:$X$38" spid="_x0000_s324550"/>
                  </a:ext>
                </a:extLst>
              </xdr:cNvPicPr>
            </xdr:nvPicPr>
            <xdr:blipFill>
              <a:blip xmlns:r="http://schemas.openxmlformats.org/officeDocument/2006/relationships" r:embed="rId24"/>
              <a:srcRect/>
              <a:stretch>
                <a:fillRect/>
              </a:stretch>
            </xdr:blipFill>
            <xdr:spPr bwMode="auto">
              <a:xfrm>
                <a:off x="7461138" y="7109460"/>
                <a:ext cx="501762" cy="335280"/>
              </a:xfrm>
              <a:prstGeom prst="rect">
                <a:avLst/>
              </a:prstGeom>
              <a:noFill/>
              <a:ln w="9525">
                <a:noFill/>
                <a:miter lim="800000"/>
                <a:headEnd/>
                <a:tailEnd/>
              </a:ln>
            </xdr:spPr>
          </xdr:pic>
        </mc:Choice>
        <mc:Fallback xmlns=""/>
      </mc:AlternateContent>
    </xdr:grpSp>
    <xdr:clientData/>
  </xdr:twoCellAnchor>
  <xdr:twoCellAnchor>
    <xdr:from>
      <xdr:col>6</xdr:col>
      <xdr:colOff>403860</xdr:colOff>
      <xdr:row>33</xdr:row>
      <xdr:rowOff>60960</xdr:rowOff>
    </xdr:from>
    <xdr:to>
      <xdr:col>10</xdr:col>
      <xdr:colOff>422098</xdr:colOff>
      <xdr:row>35</xdr:row>
      <xdr:rowOff>129540</xdr:rowOff>
    </xdr:to>
    <xdr:grpSp>
      <xdr:nvGrpSpPr>
        <xdr:cNvPr id="13" name="Group 12"/>
        <xdr:cNvGrpSpPr/>
      </xdr:nvGrpSpPr>
      <xdr:grpSpPr>
        <a:xfrm>
          <a:off x="3347085" y="6861810"/>
          <a:ext cx="1961338" cy="468630"/>
          <a:chOff x="3436620" y="7033260"/>
          <a:chExt cx="1907998" cy="480060"/>
        </a:xfrm>
      </xdr:grpSpPr>
      <xdr:sp macro="" textlink="">
        <xdr:nvSpPr>
          <xdr:cNvPr id="77" name="TextBox 76"/>
          <xdr:cNvSpPr txBox="1"/>
        </xdr:nvSpPr>
        <xdr:spPr>
          <a:xfrm>
            <a:off x="3436620" y="7033260"/>
            <a:ext cx="1907998" cy="480060"/>
          </a:xfrm>
          <a:prstGeom prst="rect">
            <a:avLst/>
          </a:prstGeom>
          <a:solidFill>
            <a:schemeClr val="tx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432000" tIns="36000" rIns="0" bIns="0" rtlCol="0" anchor="t" anchorCtr="0"/>
          <a:lstStyle/>
          <a:p>
            <a:pPr algn="ctr"/>
            <a:r>
              <a:rPr lang="en-GB" sz="900" b="1">
                <a:solidFill>
                  <a:srgbClr val="FFFF00"/>
                </a:solidFill>
              </a:rPr>
              <a:t>STEAM Overview</a:t>
            </a:r>
          </a:p>
          <a:p>
            <a:pPr algn="ctr"/>
            <a:r>
              <a:rPr lang="en-GB" sz="900" b="0" i="1">
                <a:solidFill>
                  <a:schemeClr val="bg1"/>
                </a:solidFill>
              </a:rPr>
              <a:t>About STEAM</a:t>
            </a:r>
            <a:r>
              <a:rPr lang="en-GB" sz="900" b="0" i="1" baseline="0">
                <a:solidFill>
                  <a:schemeClr val="bg1"/>
                </a:solidFill>
              </a:rPr>
              <a:t> and</a:t>
            </a:r>
          </a:p>
          <a:p>
            <a:pPr algn="ctr"/>
            <a:r>
              <a:rPr lang="en-GB" sz="900" b="0" i="1" baseline="0">
                <a:solidFill>
                  <a:schemeClr val="bg1"/>
                </a:solidFill>
              </a:rPr>
              <a:t>the STEAM Process</a:t>
            </a:r>
            <a:endParaRPr lang="en-GB" sz="900" b="0" i="1">
              <a:solidFill>
                <a:schemeClr val="bg1"/>
              </a:solidFill>
            </a:endParaRPr>
          </a:p>
        </xdr:txBody>
      </xdr:sp>
      <xdr:pic>
        <xdr:nvPicPr>
          <xdr:cNvPr id="56" name="Picture 12"/>
          <xdr:cNvPicPr>
            <a:picLocks noChangeAspect="1" noChangeArrowheads="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0654" r="10654"/>
          <a:stretch/>
        </xdr:blipFill>
        <xdr:spPr bwMode="auto">
          <a:xfrm>
            <a:off x="3512820" y="7124700"/>
            <a:ext cx="368281" cy="321315"/>
          </a:xfrm>
          <a:prstGeom prst="roundRect">
            <a:avLst>
              <a:gd name="adj" fmla="val 0"/>
            </a:avLst>
          </a:prstGeom>
          <a:solidFill>
            <a:schemeClr val="bg1"/>
          </a:solidFill>
          <a:ln>
            <a:noFill/>
          </a:ln>
          <a:effectLst>
            <a:softEdge rad="12700"/>
          </a:effectLst>
        </xdr:spPr>
      </xdr:pic>
    </xdr:grpSp>
    <xdr:clientData/>
  </xdr:twoCellAnchor>
  <xdr:twoCellAnchor>
    <xdr:from>
      <xdr:col>6</xdr:col>
      <xdr:colOff>377190</xdr:colOff>
      <xdr:row>21</xdr:row>
      <xdr:rowOff>91440</xdr:rowOff>
    </xdr:from>
    <xdr:to>
      <xdr:col>10</xdr:col>
      <xdr:colOff>395430</xdr:colOff>
      <xdr:row>31</xdr:row>
      <xdr:rowOff>110273</xdr:rowOff>
    </xdr:to>
    <xdr:grpSp>
      <xdr:nvGrpSpPr>
        <xdr:cNvPr id="76" name="Group 75">
          <a:hlinkClick xmlns:r="http://schemas.openxmlformats.org/officeDocument/2006/relationships" r:id="rId26" tooltip="Sectoral Analysis - how employment and expenditure is distributed locally"/>
        </xdr:cNvPr>
        <xdr:cNvGrpSpPr/>
      </xdr:nvGrpSpPr>
      <xdr:grpSpPr>
        <a:xfrm>
          <a:off x="3320415" y="4491990"/>
          <a:ext cx="1961340" cy="2019083"/>
          <a:chOff x="1432558" y="4594860"/>
          <a:chExt cx="1908000" cy="2076233"/>
        </a:xfrm>
      </xdr:grpSpPr>
      <xdr:sp macro="" textlink="">
        <xdr:nvSpPr>
          <xdr:cNvPr id="80" name="TextBox 79">
            <a:hlinkClick xmlns:r="http://schemas.openxmlformats.org/officeDocument/2006/relationships" r:id="rId26" tooltip="Sectoral Analysis - How Economic Impacts and Employment are Distributed Across Sectors of the Economy"/>
          </xdr:cNvPr>
          <xdr:cNvSpPr txBox="1"/>
        </xdr:nvSpPr>
        <xdr:spPr>
          <a:xfrm>
            <a:off x="1432558" y="4594860"/>
            <a:ext cx="1907998" cy="900000"/>
          </a:xfrm>
          <a:prstGeom prst="rect">
            <a:avLst/>
          </a:prstGeom>
          <a:solidFill>
            <a:schemeClr val="bg1">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Sectoral</a:t>
            </a:r>
            <a:r>
              <a:rPr lang="en-GB" sz="1400" b="1" baseline="0">
                <a:solidFill>
                  <a:srgbClr val="FFFF00"/>
                </a:solidFill>
              </a:rPr>
              <a:t> Analysis</a:t>
            </a:r>
          </a:p>
          <a:p>
            <a:pPr algn="ctr"/>
            <a:r>
              <a:rPr lang="en-GB" sz="1100" i="1" baseline="0">
                <a:solidFill>
                  <a:schemeClr val="bg1"/>
                </a:solidFill>
              </a:rPr>
              <a:t>Sectoral Distribution of Visitor Expenditure and Employment</a:t>
            </a:r>
          </a:p>
        </xdr:txBody>
      </xdr:sp>
      <mc:AlternateContent xmlns:mc="http://schemas.openxmlformats.org/markup-compatibility/2006" xmlns:a14="http://schemas.microsoft.com/office/drawing/2010/main">
        <mc:Choice Requires="a14">
          <xdr:pic>
            <xdr:nvPicPr>
              <xdr:cNvPr id="81" name="Picture 80"/>
              <xdr:cNvPicPr>
                <a:picLocks noChangeAspect="1" noChangeArrowheads="1"/>
                <a:extLst>
                  <a:ext uri="{84589F7E-364E-4C9E-8A38-B11213B215E9}">
                    <a14:cameraTool cellRange="'SECTORAL ANALYSIS'!$E$6:$X$36" spid="_x0000_s324551"/>
                  </a:ext>
                </a:extLst>
              </xdr:cNvPicPr>
            </xdr:nvPicPr>
            <xdr:blipFill>
              <a:blip xmlns:r="http://schemas.openxmlformats.org/officeDocument/2006/relationships" r:embed="rId27"/>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mc:AlternateContent xmlns:mc="http://schemas.openxmlformats.org/markup-compatibility/2006">
    <mc:Choice xmlns:a14="http://schemas.microsoft.com/office/drawing/2010/main" Requires="a14">
      <xdr:twoCellAnchor>
        <xdr:from>
          <xdr:col>11</xdr:col>
          <xdr:colOff>114300</xdr:colOff>
          <xdr:row>33</xdr:row>
          <xdr:rowOff>133350</xdr:rowOff>
        </xdr:from>
        <xdr:to>
          <xdr:col>12</xdr:col>
          <xdr:colOff>145541</xdr:colOff>
          <xdr:row>35</xdr:row>
          <xdr:rowOff>60597</xdr:rowOff>
        </xdr:to>
        <xdr:pic>
          <xdr:nvPicPr>
            <xdr:cNvPr id="69" name="Picture 68">
              <a:hlinkClick xmlns:r="http://schemas.openxmlformats.org/officeDocument/2006/relationships" r:id="rId28" tooltip="Cover Page"/>
            </xdr:cNvPr>
            <xdr:cNvPicPr>
              <a:picLocks noChangeAspect="1" noChangeArrowheads="1"/>
              <a:extLst>
                <a:ext uri="{84589F7E-364E-4C9E-8A38-B11213B215E9}">
                  <a14:cameraTool cellRange="COVER!$E$6:$X$34" spid="_x0000_s324552"/>
                </a:ext>
              </a:extLst>
            </xdr:cNvPicPr>
          </xdr:nvPicPr>
          <xdr:blipFill>
            <a:blip xmlns:r="http://schemas.openxmlformats.org/officeDocument/2006/relationships" r:embed="rId29"/>
            <a:srcRect/>
            <a:stretch>
              <a:fillRect/>
            </a:stretch>
          </xdr:blipFill>
          <xdr:spPr bwMode="auto">
            <a:xfrm>
              <a:off x="5343525" y="6934200"/>
              <a:ext cx="488441" cy="327297"/>
            </a:xfrm>
            <a:prstGeom prst="rect">
              <a:avLst/>
            </a:prstGeom>
            <a:solidFill>
              <a:schemeClr val="bg1"/>
            </a:solidFill>
            <a:ln w="9525">
              <a:noFill/>
              <a:miter lim="800000"/>
              <a:headEnd/>
              <a:tailEnd/>
            </a:ln>
          </xdr:spPr>
        </xdr:pic>
        <xdr:clientData/>
      </xdr:twoCellAnchor>
    </mc:Choice>
    <mc:Fallback/>
  </mc:AlternateContent>
  <xdr:twoCellAnchor>
    <xdr:from>
      <xdr:col>24</xdr:col>
      <xdr:colOff>60960</xdr:colOff>
      <xdr:row>1</xdr:row>
      <xdr:rowOff>106680</xdr:rowOff>
    </xdr:from>
    <xdr:to>
      <xdr:col>31</xdr:col>
      <xdr:colOff>91440</xdr:colOff>
      <xdr:row>4</xdr:row>
      <xdr:rowOff>213360</xdr:rowOff>
    </xdr:to>
    <xdr:grpSp>
      <xdr:nvGrpSpPr>
        <xdr:cNvPr id="12" name="Group 11"/>
        <xdr:cNvGrpSpPr/>
      </xdr:nvGrpSpPr>
      <xdr:grpSpPr>
        <a:xfrm>
          <a:off x="11748135" y="106680"/>
          <a:ext cx="2535555" cy="973455"/>
          <a:chOff x="11597640" y="106680"/>
          <a:chExt cx="2621280" cy="982980"/>
        </a:xfrm>
      </xdr:grpSpPr>
      <xdr:pic>
        <xdr:nvPicPr>
          <xdr:cNvPr id="3" name="Picture 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3037820" y="106680"/>
            <a:ext cx="1181100" cy="977092"/>
          </a:xfrm>
          <a:prstGeom prst="rect">
            <a:avLst/>
          </a:prstGeom>
        </xdr:spPr>
      </xdr:pic>
      <xdr:sp macro="" textlink="">
        <xdr:nvSpPr>
          <xdr:cNvPr id="65" name="Rectangle 64"/>
          <xdr:cNvSpPr/>
        </xdr:nvSpPr>
        <xdr:spPr>
          <a:xfrm>
            <a:off x="11597640" y="114300"/>
            <a:ext cx="1409700" cy="97536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800" b="1" i="0" baseline="0">
                <a:solidFill>
                  <a:schemeClr val="bg1"/>
                </a:solidFill>
              </a:rPr>
              <a:t>To make best use of the screen area, we recommend that you "auto-hide" the Excel ribbon using the button in top right hand corner of the screen as shown in the image to the right</a:t>
            </a:r>
            <a:endParaRPr lang="en-GB" sz="800" b="0" i="1" baseline="0">
              <a:solidFill>
                <a:schemeClr val="bg1"/>
              </a:solidFill>
            </a:endParaRPr>
          </a:p>
        </xdr:txBody>
      </xdr:sp>
    </xdr:grpSp>
    <xdr:clientData/>
  </xdr:twoCellAnchor>
  <xdr:twoCellAnchor>
    <xdr:from>
      <xdr:col>11</xdr:col>
      <xdr:colOff>66675</xdr:colOff>
      <xdr:row>21</xdr:row>
      <xdr:rowOff>95250</xdr:rowOff>
    </xdr:from>
    <xdr:to>
      <xdr:col>15</xdr:col>
      <xdr:colOff>102060</xdr:colOff>
      <xdr:row>31</xdr:row>
      <xdr:rowOff>114083</xdr:rowOff>
    </xdr:to>
    <xdr:grpSp>
      <xdr:nvGrpSpPr>
        <xdr:cNvPr id="67" name="Group 66">
          <a:hlinkClick xmlns:r="http://schemas.openxmlformats.org/officeDocument/2006/relationships" r:id="rId31" tooltip="Visitor Type Distribution - The Relative Contributions Made by Each Visitor Type to Economic Impact, Tourist Numbers, Tourist Days and Employment"/>
        </xdr:cNvPr>
        <xdr:cNvGrpSpPr/>
      </xdr:nvGrpSpPr>
      <xdr:grpSpPr>
        <a:xfrm>
          <a:off x="5438775" y="4495800"/>
          <a:ext cx="1978485" cy="2019083"/>
          <a:chOff x="1432558" y="4594860"/>
          <a:chExt cx="1908000" cy="2076233"/>
        </a:xfrm>
      </xdr:grpSpPr>
      <xdr:sp macro="" textlink="">
        <xdr:nvSpPr>
          <xdr:cNvPr id="68" name="TextBox 67"/>
          <xdr:cNvSpPr txBox="1"/>
        </xdr:nvSpPr>
        <xdr:spPr>
          <a:xfrm>
            <a:off x="1432558" y="4594860"/>
            <a:ext cx="1907998" cy="900000"/>
          </a:xfrm>
          <a:prstGeom prst="rect">
            <a:avLst/>
          </a:prstGeom>
          <a:solidFill>
            <a:schemeClr val="accent4">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Annual Impact Distribution</a:t>
            </a:r>
            <a:r>
              <a:rPr lang="en-GB" sz="1400" b="1" baseline="0">
                <a:solidFill>
                  <a:srgbClr val="FFFF00"/>
                </a:solidFill>
              </a:rPr>
              <a:t> by Visitor Type</a:t>
            </a:r>
          </a:p>
        </xdr:txBody>
      </xdr:sp>
      <mc:AlternateContent xmlns:mc="http://schemas.openxmlformats.org/markup-compatibility/2006" xmlns:a14="http://schemas.microsoft.com/office/drawing/2010/main">
        <mc:Choice Requires="a14">
          <xdr:pic>
            <xdr:nvPicPr>
              <xdr:cNvPr id="72" name="Picture 71"/>
              <xdr:cNvPicPr>
                <a:picLocks noChangeAspect="1" noChangeArrowheads="1"/>
                <a:extLst>
                  <a:ext uri="{84589F7E-364E-4C9E-8A38-B11213B215E9}">
                    <a14:cameraTool cellRange="'VISITOR TYPE DISTRIBUTION'!$E$6:$X$37" spid="_x0000_s324553"/>
                  </a:ext>
                </a:extLst>
              </xdr:cNvPicPr>
            </xdr:nvPicPr>
            <xdr:blipFill>
              <a:blip xmlns:r="http://schemas.openxmlformats.org/officeDocument/2006/relationships" r:embed="rId32"/>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15</xdr:col>
      <xdr:colOff>219075</xdr:colOff>
      <xdr:row>21</xdr:row>
      <xdr:rowOff>95250</xdr:rowOff>
    </xdr:from>
    <xdr:to>
      <xdr:col>19</xdr:col>
      <xdr:colOff>254460</xdr:colOff>
      <xdr:row>31</xdr:row>
      <xdr:rowOff>114083</xdr:rowOff>
    </xdr:to>
    <xdr:grpSp>
      <xdr:nvGrpSpPr>
        <xdr:cNvPr id="87" name="Group 86">
          <a:hlinkClick xmlns:r="http://schemas.openxmlformats.org/officeDocument/2006/relationships" r:id="rId33" tooltip="Monthly Distribution - The Relative Contributions Made by Each Visitor Type to Economic Impact, Tourist Numbers, Tourist Days and Employment by Month"/>
        </xdr:cNvPr>
        <xdr:cNvGrpSpPr/>
      </xdr:nvGrpSpPr>
      <xdr:grpSpPr>
        <a:xfrm>
          <a:off x="7534275" y="4495800"/>
          <a:ext cx="1978485" cy="2019083"/>
          <a:chOff x="1432558" y="4594860"/>
          <a:chExt cx="1908000" cy="2076233"/>
        </a:xfrm>
      </xdr:grpSpPr>
      <xdr:sp macro="" textlink="">
        <xdr:nvSpPr>
          <xdr:cNvPr id="88" name="TextBox 87"/>
          <xdr:cNvSpPr txBox="1"/>
        </xdr:nvSpPr>
        <xdr:spPr>
          <a:xfrm>
            <a:off x="1432558" y="4594860"/>
            <a:ext cx="1907998" cy="900000"/>
          </a:xfrm>
          <a:prstGeom prst="rect">
            <a:avLst/>
          </a:prstGeom>
          <a:solidFill>
            <a:schemeClr val="accent4">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Monthly</a:t>
            </a:r>
            <a:r>
              <a:rPr lang="en-GB" sz="1400" b="1" baseline="0">
                <a:solidFill>
                  <a:srgbClr val="FFFF00"/>
                </a:solidFill>
              </a:rPr>
              <a:t> </a:t>
            </a:r>
            <a:r>
              <a:rPr lang="en-GB" sz="1400" b="1">
                <a:solidFill>
                  <a:srgbClr val="FFFF00"/>
                </a:solidFill>
              </a:rPr>
              <a:t>Impact Distribution</a:t>
            </a:r>
            <a:r>
              <a:rPr lang="en-GB" sz="1400" b="1" baseline="0">
                <a:solidFill>
                  <a:srgbClr val="FFFF00"/>
                </a:solidFill>
              </a:rPr>
              <a:t> by Visitor Type</a:t>
            </a:r>
          </a:p>
        </xdr:txBody>
      </xdr:sp>
      <mc:AlternateContent xmlns:mc="http://schemas.openxmlformats.org/markup-compatibility/2006" xmlns:a14="http://schemas.microsoft.com/office/drawing/2010/main">
        <mc:Choice Requires="a14">
          <xdr:pic>
            <xdr:nvPicPr>
              <xdr:cNvPr id="90" name="Picture 89"/>
              <xdr:cNvPicPr>
                <a:picLocks noChangeAspect="1" noChangeArrowheads="1"/>
                <a:extLst>
                  <a:ext uri="{84589F7E-364E-4C9E-8A38-B11213B215E9}">
                    <a14:cameraTool cellRange="'MONTHLY DISTRIBUTION'!$E$6:$X$38" spid="_x0000_s324554"/>
                  </a:ext>
                </a:extLst>
              </xdr:cNvPicPr>
            </xdr:nvPicPr>
            <xdr:blipFill>
              <a:blip xmlns:r="http://schemas.openxmlformats.org/officeDocument/2006/relationships" r:embed="rId34"/>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19</xdr:col>
      <xdr:colOff>361950</xdr:colOff>
      <xdr:row>21</xdr:row>
      <xdr:rowOff>95250</xdr:rowOff>
    </xdr:from>
    <xdr:to>
      <xdr:col>23</xdr:col>
      <xdr:colOff>397335</xdr:colOff>
      <xdr:row>31</xdr:row>
      <xdr:rowOff>114083</xdr:rowOff>
    </xdr:to>
    <xdr:grpSp>
      <xdr:nvGrpSpPr>
        <xdr:cNvPr id="74" name="Group 73">
          <a:hlinkClick xmlns:r="http://schemas.openxmlformats.org/officeDocument/2006/relationships" r:id="rId35" tooltip="Accommodation Supply - Establishments and Bedspaces by Type and Sub-Type of Accommodation"/>
        </xdr:cNvPr>
        <xdr:cNvGrpSpPr/>
      </xdr:nvGrpSpPr>
      <xdr:grpSpPr>
        <a:xfrm>
          <a:off x="9620250" y="4495800"/>
          <a:ext cx="1978485" cy="2019083"/>
          <a:chOff x="1432558" y="4594860"/>
          <a:chExt cx="1908000" cy="2076233"/>
        </a:xfrm>
      </xdr:grpSpPr>
      <xdr:sp macro="" textlink="">
        <xdr:nvSpPr>
          <xdr:cNvPr id="82" name="TextBox 81"/>
          <xdr:cNvSpPr txBox="1"/>
        </xdr:nvSpPr>
        <xdr:spPr>
          <a:xfrm>
            <a:off x="1432558" y="4594860"/>
            <a:ext cx="1907998" cy="900000"/>
          </a:xfrm>
          <a:prstGeom prst="rect">
            <a:avLst/>
          </a:prstGeom>
          <a:solidFill>
            <a:schemeClr val="accent3">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Accommodation</a:t>
            </a:r>
          </a:p>
          <a:p>
            <a:pPr algn="ctr"/>
            <a:r>
              <a:rPr lang="en-GB" sz="1400" b="1" baseline="0">
                <a:solidFill>
                  <a:srgbClr val="FFFF00"/>
                </a:solidFill>
              </a:rPr>
              <a:t>Supply by</a:t>
            </a:r>
          </a:p>
          <a:p>
            <a:pPr algn="ctr"/>
            <a:r>
              <a:rPr lang="en-GB" sz="1400" b="1" baseline="0">
                <a:solidFill>
                  <a:srgbClr val="FFFF00"/>
                </a:solidFill>
              </a:rPr>
              <a:t>Type of Establishment</a:t>
            </a:r>
          </a:p>
        </xdr:txBody>
      </xdr:sp>
      <mc:AlternateContent xmlns:mc="http://schemas.openxmlformats.org/markup-compatibility/2006" xmlns:a14="http://schemas.microsoft.com/office/drawing/2010/main">
        <mc:Choice Requires="a14">
          <xdr:pic>
            <xdr:nvPicPr>
              <xdr:cNvPr id="83" name="Picture 82"/>
              <xdr:cNvPicPr>
                <a:picLocks noChangeAspect="1" noChangeArrowheads="1"/>
                <a:extLst>
                  <a:ext uri="{84589F7E-364E-4C9E-8A38-B11213B215E9}">
                    <a14:cameraTool cellRange="'ACCOMMODATION SUPPLY'!$E$6:$X$38" spid="_x0000_s324555"/>
                  </a:ext>
                </a:extLst>
              </xdr:cNvPicPr>
            </xdr:nvPicPr>
            <xdr:blipFill>
              <a:blip xmlns:r="http://schemas.openxmlformats.org/officeDocument/2006/relationships" r:embed="rId36"/>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5" name="Rectangle 4"/>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6" name="Picture 5">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11" name="Rectangle 10"/>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2" name="Bent Arrow 11"/>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13" name="TextBox 12"/>
        <xdr:cNvSpPr txBox="1"/>
      </xdr:nvSpPr>
      <xdr:spPr>
        <a:xfrm>
          <a:off x="88125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23</xdr:col>
      <xdr:colOff>114300</xdr:colOff>
      <xdr:row>5</xdr:row>
      <xdr:rowOff>56617</xdr:rowOff>
    </xdr:from>
    <xdr:to>
      <xdr:col>23</xdr:col>
      <xdr:colOff>409575</xdr:colOff>
      <xdr:row>6</xdr:row>
      <xdr:rowOff>154564</xdr:rowOff>
    </xdr:to>
    <xdr:pic>
      <xdr:nvPicPr>
        <xdr:cNvPr id="31" name="Picture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1315700" y="1256767"/>
          <a:ext cx="295275" cy="297972"/>
        </a:xfrm>
        <a:prstGeom prst="roundRect">
          <a:avLst>
            <a:gd name="adj" fmla="val 8594"/>
          </a:avLst>
        </a:prstGeom>
        <a:noFill/>
        <a:ln>
          <a:noFill/>
        </a:ln>
        <a:effectLst>
          <a:softEdge rad="12700"/>
        </a:effectLst>
      </xdr:spPr>
    </xdr:pic>
    <xdr:clientData/>
  </xdr:twoCellAnchor>
  <xdr:twoCellAnchor>
    <xdr:from>
      <xdr:col>4</xdr:col>
      <xdr:colOff>47625</xdr:colOff>
      <xdr:row>7</xdr:row>
      <xdr:rowOff>85724</xdr:rowOff>
    </xdr:from>
    <xdr:to>
      <xdr:col>23</xdr:col>
      <xdr:colOff>457200</xdr:colOff>
      <xdr:row>37</xdr:row>
      <xdr:rowOff>76200</xdr:rowOff>
    </xdr:to>
    <xdr:sp macro="" textlink="">
      <xdr:nvSpPr>
        <xdr:cNvPr id="8" name="TextBox 7"/>
        <xdr:cNvSpPr txBox="1"/>
      </xdr:nvSpPr>
      <xdr:spPr>
        <a:xfrm>
          <a:off x="1343025" y="1685924"/>
          <a:ext cx="10315575" cy="579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tx1">
                  <a:lumMod val="65000"/>
                  <a:lumOff val="35000"/>
                </a:schemeClr>
              </a:solidFill>
            </a:rPr>
            <a:t>Report</a:t>
          </a:r>
          <a:r>
            <a:rPr lang="en-GB" sz="1200" b="1" baseline="0">
              <a:solidFill>
                <a:schemeClr val="tx1">
                  <a:lumMod val="65000"/>
                  <a:lumOff val="35000"/>
                </a:schemeClr>
              </a:solidFill>
            </a:rPr>
            <a:t> </a:t>
          </a:r>
          <a:r>
            <a:rPr lang="en-GB" sz="1200" b="1">
              <a:solidFill>
                <a:schemeClr val="tx1">
                  <a:lumMod val="65000"/>
                  <a:lumOff val="35000"/>
                </a:schemeClr>
              </a:solidFill>
            </a:rPr>
            <a:t>Section </a:t>
          </a:r>
          <a:r>
            <a:rPr lang="en-GB" sz="1200" b="1" baseline="0">
              <a:solidFill>
                <a:schemeClr val="tx1">
                  <a:lumMod val="65000"/>
                  <a:lumOff val="35000"/>
                </a:schemeClr>
              </a:solidFill>
            </a:rPr>
            <a:t>Design and Features</a:t>
          </a:r>
        </a:p>
        <a:p>
          <a:r>
            <a:rPr lang="en-GB" sz="1100" b="1" i="1" baseline="0">
              <a:solidFill>
                <a:schemeClr val="tx1">
                  <a:lumMod val="50000"/>
                  <a:lumOff val="50000"/>
                </a:schemeClr>
              </a:solidFill>
            </a:rPr>
            <a:t>Headers</a:t>
          </a:r>
        </a:p>
        <a:p>
          <a:r>
            <a:rPr lang="en-GB" sz="1000" b="0" i="0" baseline="0"/>
            <a:t>At the top of each page is a band containing key information about your report</a:t>
          </a:r>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r>
            <a:rPr lang="en-GB" sz="1100" b="1" i="1" baseline="0">
              <a:solidFill>
                <a:schemeClr val="tx1">
                  <a:lumMod val="50000"/>
                  <a:lumOff val="50000"/>
                </a:schemeClr>
              </a:solidFill>
              <a:effectLst/>
              <a:latin typeface="+mn-lt"/>
              <a:ea typeface="+mn-ea"/>
              <a:cs typeface="+mn-cs"/>
            </a:rPr>
            <a:t>User Controls (Excel File)</a:t>
          </a:r>
          <a:endParaRPr lang="en-GB">
            <a:solidFill>
              <a:schemeClr val="tx1">
                <a:lumMod val="50000"/>
                <a:lumOff val="50000"/>
              </a:schemeClr>
            </a:solidFill>
            <a:effectLst/>
          </a:endParaRPr>
        </a:p>
        <a:p>
          <a:r>
            <a:rPr lang="en-GB" sz="1000" b="0" i="0" baseline="0">
              <a:solidFill>
                <a:schemeClr val="dk1"/>
              </a:solidFill>
              <a:effectLst/>
              <a:latin typeface="+mn-lt"/>
              <a:ea typeface="+mn-ea"/>
              <a:cs typeface="+mn-cs"/>
            </a:rPr>
            <a:t>Above the </a:t>
          </a:r>
          <a:r>
            <a:rPr lang="en-GB" sz="1000" b="1" i="1" baseline="0">
              <a:solidFill>
                <a:schemeClr val="tx1">
                  <a:lumMod val="50000"/>
                  <a:lumOff val="50000"/>
                </a:schemeClr>
              </a:solidFill>
              <a:effectLst/>
              <a:latin typeface="+mn-lt"/>
              <a:ea typeface="+mn-ea"/>
              <a:cs typeface="+mn-cs"/>
            </a:rPr>
            <a:t>Headers </a:t>
          </a:r>
          <a:r>
            <a:rPr lang="en-GB" sz="1000" b="0" i="0" baseline="0">
              <a:solidFill>
                <a:schemeClr val="dk1"/>
              </a:solidFill>
              <a:effectLst/>
              <a:latin typeface="+mn-lt"/>
              <a:ea typeface="+mn-ea"/>
              <a:cs typeface="+mn-cs"/>
            </a:rPr>
            <a:t>is a band containing </a:t>
          </a:r>
          <a:r>
            <a:rPr lang="en-GB" sz="1000" b="1" i="1" baseline="0">
              <a:solidFill>
                <a:schemeClr val="tx1">
                  <a:lumMod val="50000"/>
                  <a:lumOff val="50000"/>
                </a:schemeClr>
              </a:solidFill>
              <a:effectLst/>
              <a:latin typeface="+mn-lt"/>
              <a:ea typeface="+mn-ea"/>
              <a:cs typeface="+mn-cs"/>
            </a:rPr>
            <a:t>User Controls</a:t>
          </a:r>
          <a:r>
            <a:rPr lang="en-GB" sz="1000" b="0" i="0" baseline="0">
              <a:solidFill>
                <a:schemeClr val="dk1"/>
              </a:solidFill>
              <a:effectLst/>
              <a:latin typeface="+mn-lt"/>
              <a:ea typeface="+mn-ea"/>
              <a:cs typeface="+mn-cs"/>
            </a:rPr>
            <a:t>, these allow you to adjust various features of your report to suit your needs. When using these controls the report recalculates and represents your STEAM report outputs automatically. You may notice some delay between changing a setting and seeing the result, or being able to adjust a further setting, this is entirely normal. </a:t>
          </a:r>
          <a:endParaRPr lang="en-GB" sz="1000" i="0">
            <a:effectLst/>
          </a:endParaRPr>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r>
            <a:rPr lang="en-GB" sz="1100" b="1" i="1" baseline="0">
              <a:solidFill>
                <a:schemeClr val="tx1">
                  <a:lumMod val="50000"/>
                  <a:lumOff val="50000"/>
                </a:schemeClr>
              </a:solidFill>
              <a:effectLst/>
              <a:latin typeface="+mn-lt"/>
              <a:ea typeface="+mn-ea"/>
              <a:cs typeface="+mn-cs"/>
            </a:rPr>
            <a:t>Units</a:t>
          </a:r>
          <a:endParaRPr lang="en-GB">
            <a:solidFill>
              <a:schemeClr val="tx1">
                <a:lumMod val="50000"/>
                <a:lumOff val="50000"/>
              </a:schemeClr>
            </a:solidFill>
            <a:effectLst/>
          </a:endParaRPr>
        </a:p>
        <a:p>
          <a:r>
            <a:rPr lang="en-GB" sz="1000" b="0" i="0" baseline="0">
              <a:solidFill>
                <a:schemeClr val="dk1"/>
              </a:solidFill>
              <a:effectLst/>
              <a:latin typeface="+mn-lt"/>
              <a:ea typeface="+mn-ea"/>
              <a:cs typeface="+mn-cs"/>
            </a:rPr>
            <a:t>Each section of the report automatically adjusts number formatting to present data in the most easily understandable way.  Different visitor types can generate impacts at very different scales and as a result you may see figures for one group of visitors in thousands and another in millions.  The units we use are:</a:t>
          </a:r>
        </a:p>
        <a:p>
          <a:endParaRPr lang="en-GB" sz="1000" b="0" i="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b="1" i="0" baseline="0">
              <a:solidFill>
                <a:schemeClr val="dk1"/>
              </a:solidFill>
              <a:effectLst/>
              <a:latin typeface="+mn-lt"/>
              <a:ea typeface="+mn-ea"/>
              <a:cs typeface="+mn-cs"/>
            </a:rPr>
            <a:t>FTEs	= </a:t>
          </a:r>
          <a:r>
            <a:rPr lang="en-GB" sz="1000" b="0" i="0" baseline="0">
              <a:solidFill>
                <a:schemeClr val="dk1"/>
              </a:solidFill>
              <a:effectLst/>
              <a:latin typeface="+mn-lt"/>
              <a:ea typeface="+mn-ea"/>
              <a:cs typeface="+mn-cs"/>
            </a:rPr>
            <a:t>Full Time Equivalent jobs supported</a:t>
          </a:r>
        </a:p>
        <a:p>
          <a:pPr marL="0" marR="0" indent="0" defTabSz="914400" eaLnBrk="1" fontAlgn="auto" latinLnBrk="0" hangingPunct="1">
            <a:lnSpc>
              <a:spcPct val="100000"/>
            </a:lnSpc>
            <a:spcBef>
              <a:spcPts val="0"/>
            </a:spcBef>
            <a:spcAft>
              <a:spcPts val="0"/>
            </a:spcAft>
            <a:buClrTx/>
            <a:buSzTx/>
            <a:buFontTx/>
            <a:buNone/>
            <a:tabLst/>
            <a:defRPr/>
          </a:pPr>
          <a:r>
            <a:rPr lang="en-GB" sz="1000" b="1" i="0" baseline="0">
              <a:solidFill>
                <a:schemeClr val="dk1"/>
              </a:solidFill>
              <a:effectLst/>
              <a:latin typeface="+mn-lt"/>
              <a:ea typeface="+mn-ea"/>
              <a:cs typeface="+mn-cs"/>
            </a:rPr>
            <a:t>£000s / 000s</a:t>
          </a:r>
          <a:r>
            <a:rPr lang="en-GB" sz="1000" b="0" i="0" baseline="0">
              <a:solidFill>
                <a:schemeClr val="dk1"/>
              </a:solidFill>
              <a:effectLst/>
              <a:latin typeface="+mn-lt"/>
              <a:ea typeface="+mn-ea"/>
              <a:cs typeface="+mn-cs"/>
            </a:rPr>
            <a:t> 	= thousands of pounds or thousands of tourist days / tourist numbers</a:t>
          </a:r>
          <a:endParaRPr lang="en-GB" sz="1000">
            <a:effectLst/>
          </a:endParaRPr>
        </a:p>
        <a:p>
          <a:r>
            <a:rPr lang="en-GB" sz="1000" b="1" i="0" baseline="0">
              <a:solidFill>
                <a:schemeClr val="dk1"/>
              </a:solidFill>
              <a:effectLst/>
              <a:latin typeface="+mn-lt"/>
              <a:ea typeface="+mn-ea"/>
              <a:cs typeface="+mn-cs"/>
            </a:rPr>
            <a:t>£m / m</a:t>
          </a:r>
          <a:r>
            <a:rPr lang="en-GB" sz="1000" b="0" i="0" baseline="0">
              <a:solidFill>
                <a:schemeClr val="dk1"/>
              </a:solidFill>
              <a:effectLst/>
              <a:latin typeface="+mn-lt"/>
              <a:ea typeface="+mn-ea"/>
              <a:cs typeface="+mn-cs"/>
            </a:rPr>
            <a:t> 	= millions of pounds or millions of tourist days / tourist numbers</a:t>
          </a:r>
        </a:p>
        <a:p>
          <a:r>
            <a:rPr lang="en-GB" sz="1000" b="1" i="0" baseline="0">
              <a:solidFill>
                <a:schemeClr val="dk1"/>
              </a:solidFill>
              <a:effectLst/>
              <a:latin typeface="+mn-lt"/>
              <a:ea typeface="+mn-ea"/>
              <a:cs typeface="+mn-cs"/>
            </a:rPr>
            <a:t>£bn / bn	= </a:t>
          </a:r>
          <a:r>
            <a:rPr lang="en-GB" sz="1000" b="0" i="0" baseline="0">
              <a:solidFill>
                <a:schemeClr val="dk1"/>
              </a:solidFill>
              <a:effectLst/>
              <a:latin typeface="+mn-lt"/>
              <a:ea typeface="+mn-ea"/>
              <a:cs typeface="+mn-cs"/>
            </a:rPr>
            <a:t>billions of pounds or billions of tourist days / tourist numbers</a:t>
          </a:r>
          <a:endParaRPr lang="en-GB" sz="1000" b="0">
            <a:effectLst/>
          </a:endParaRPr>
        </a:p>
        <a:p>
          <a:endParaRPr lang="en-GB" sz="1000" b="0" i="0" baseline="0"/>
        </a:p>
        <a:p>
          <a:r>
            <a:rPr lang="en-GB" sz="1100" b="1" i="1" baseline="0">
              <a:solidFill>
                <a:schemeClr val="tx1">
                  <a:lumMod val="50000"/>
                  <a:lumOff val="50000"/>
                </a:schemeClr>
              </a:solidFill>
              <a:effectLst/>
              <a:latin typeface="+mn-lt"/>
              <a:ea typeface="+mn-ea"/>
              <a:cs typeface="+mn-cs"/>
            </a:rPr>
            <a:t>Visitor Numbers / Visitor Days / Average Length of Stay</a:t>
          </a:r>
          <a:endParaRPr lang="en-GB" sz="1100">
            <a:solidFill>
              <a:schemeClr val="tx1">
                <a:lumMod val="50000"/>
                <a:lumOff val="50000"/>
              </a:schemeClr>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000" b="0" i="0" baseline="0">
              <a:solidFill>
                <a:schemeClr val="tx1"/>
              </a:solidFill>
            </a:rPr>
            <a:t>The term </a:t>
          </a:r>
          <a:r>
            <a:rPr lang="en-GB" sz="1000" b="1" i="1" baseline="0">
              <a:solidFill>
                <a:schemeClr val="tx1">
                  <a:lumMod val="50000"/>
                  <a:lumOff val="50000"/>
                </a:schemeClr>
              </a:solidFill>
            </a:rPr>
            <a:t>Visitor Numbers </a:t>
          </a:r>
          <a:r>
            <a:rPr lang="en-GB" sz="1000" b="0" i="0" baseline="0"/>
            <a:t>relates to the estimated number of individual </a:t>
          </a:r>
          <a:r>
            <a:rPr lang="en-GB" sz="1000" b="1" i="0" baseline="0"/>
            <a:t>visits </a:t>
          </a:r>
          <a:r>
            <a:rPr lang="en-GB" sz="1000" b="0" i="0" baseline="0"/>
            <a:t>to the area. Each type of visitor tends to stay, on average, a different length of time (Average Length of Stay).  </a:t>
          </a:r>
          <a:r>
            <a:rPr lang="en-GB" sz="1000" b="0" i="0" baseline="0">
              <a:solidFill>
                <a:schemeClr val="dk1"/>
              </a:solidFill>
              <a:effectLst/>
              <a:latin typeface="+mn-lt"/>
              <a:ea typeface="+mn-ea"/>
              <a:cs typeface="+mn-cs"/>
            </a:rPr>
            <a:t>The term </a:t>
          </a:r>
          <a:r>
            <a:rPr lang="en-GB" sz="1000" b="1" i="1" baseline="0">
              <a:solidFill>
                <a:schemeClr val="tx1">
                  <a:lumMod val="50000"/>
                  <a:lumOff val="50000"/>
                </a:schemeClr>
              </a:solidFill>
              <a:effectLst/>
              <a:latin typeface="+mn-lt"/>
              <a:ea typeface="+mn-ea"/>
              <a:cs typeface="+mn-cs"/>
            </a:rPr>
            <a:t>Visitor Days</a:t>
          </a:r>
          <a:r>
            <a:rPr lang="en-GB" sz="1000" b="1" i="1" baseline="0">
              <a:solidFill>
                <a:schemeClr val="dk1"/>
              </a:solidFill>
              <a:effectLst/>
              <a:latin typeface="+mn-lt"/>
              <a:ea typeface="+mn-ea"/>
              <a:cs typeface="+mn-cs"/>
            </a:rPr>
            <a:t> </a:t>
          </a:r>
          <a:r>
            <a:rPr lang="en-GB" sz="1000" b="0" i="0" baseline="0">
              <a:solidFill>
                <a:schemeClr val="dk1"/>
              </a:solidFill>
              <a:effectLst/>
              <a:latin typeface="+mn-lt"/>
              <a:ea typeface="+mn-ea"/>
              <a:cs typeface="+mn-cs"/>
            </a:rPr>
            <a:t>relates to the estimated number of </a:t>
          </a:r>
          <a:r>
            <a:rPr lang="en-GB" sz="1000" b="1" i="0" baseline="0">
              <a:solidFill>
                <a:schemeClr val="dk1"/>
              </a:solidFill>
              <a:effectLst/>
              <a:latin typeface="+mn-lt"/>
              <a:ea typeface="+mn-ea"/>
              <a:cs typeface="+mn-cs"/>
            </a:rPr>
            <a:t>days </a:t>
          </a:r>
          <a:r>
            <a:rPr lang="en-GB" sz="1000" b="0" i="0" baseline="0">
              <a:solidFill>
                <a:schemeClr val="dk1"/>
              </a:solidFill>
              <a:effectLst/>
              <a:latin typeface="+mn-lt"/>
              <a:ea typeface="+mn-ea"/>
              <a:cs typeface="+mn-cs"/>
            </a:rPr>
            <a:t>spent within the area by the different visitor types.  If you divide the visitor numbers by visitor days, you have the </a:t>
          </a:r>
          <a:r>
            <a:rPr lang="en-GB" sz="1000" b="1" i="1" baseline="0">
              <a:solidFill>
                <a:schemeClr val="tx1">
                  <a:lumMod val="50000"/>
                  <a:lumOff val="50000"/>
                </a:schemeClr>
              </a:solidFill>
              <a:effectLst/>
              <a:latin typeface="+mn-lt"/>
              <a:ea typeface="+mn-ea"/>
              <a:cs typeface="+mn-cs"/>
            </a:rPr>
            <a:t>Average Length of Stay</a:t>
          </a:r>
          <a:r>
            <a:rPr lang="en-GB" sz="1000" b="0" i="0" baseline="0">
              <a:solidFill>
                <a:schemeClr val="dk1"/>
              </a:solidFill>
              <a:effectLst/>
              <a:latin typeface="+mn-lt"/>
              <a:ea typeface="+mn-ea"/>
              <a:cs typeface="+mn-cs"/>
            </a:rPr>
            <a:t> for that Visitor Type</a:t>
          </a:r>
          <a:endParaRPr lang="en-GB" sz="1000">
            <a:effectLst/>
          </a:endParaRPr>
        </a:p>
        <a:p>
          <a:endParaRPr lang="en-GB" sz="1100" b="0" i="0" baseline="0"/>
        </a:p>
      </xdr:txBody>
    </xdr:sp>
    <xdr:clientData/>
  </xdr:twoCellAnchor>
  <xdr:twoCellAnchor>
    <xdr:from>
      <xdr:col>4</xdr:col>
      <xdr:colOff>161925</xdr:colOff>
      <xdr:row>10</xdr:row>
      <xdr:rowOff>95248</xdr:rowOff>
    </xdr:from>
    <xdr:to>
      <xdr:col>23</xdr:col>
      <xdr:colOff>200025</xdr:colOff>
      <xdr:row>15</xdr:row>
      <xdr:rowOff>123825</xdr:rowOff>
    </xdr:to>
    <xdr:grpSp>
      <xdr:nvGrpSpPr>
        <xdr:cNvPr id="258052" name="Group 258051"/>
        <xdr:cNvGrpSpPr/>
      </xdr:nvGrpSpPr>
      <xdr:grpSpPr>
        <a:xfrm>
          <a:off x="1457325" y="2295523"/>
          <a:ext cx="9944100" cy="1028702"/>
          <a:chOff x="1419225" y="2400298"/>
          <a:chExt cx="9944100" cy="1028702"/>
        </a:xfrm>
      </xdr:grpSpPr>
      <mc:AlternateContent xmlns:mc="http://schemas.openxmlformats.org/markup-compatibility/2006" xmlns:a14="http://schemas.microsoft.com/office/drawing/2010/main">
        <mc:Choice Requires="a14">
          <xdr:pic>
            <xdr:nvPicPr>
              <xdr:cNvPr id="42" name="Picture 41"/>
              <xdr:cNvPicPr>
                <a:picLocks noChangeAspect="1" noChangeArrowheads="1"/>
                <a:extLst>
                  <a:ext uri="{84589F7E-364E-4C9E-8A38-B11213B215E9}">
                    <a14:cameraTool cellRange="'ECONOMIC IMPACT'!$E$6:$X$7" spid="_x0000_s258507"/>
                  </a:ext>
                </a:extLst>
              </xdr:cNvPicPr>
            </xdr:nvPicPr>
            <xdr:blipFill>
              <a:blip xmlns:r="http://schemas.openxmlformats.org/officeDocument/2006/relationships" r:embed="rId5"/>
              <a:srcRect/>
              <a:stretch>
                <a:fillRect/>
              </a:stretch>
            </xdr:blipFill>
            <xdr:spPr bwMode="auto">
              <a:xfrm>
                <a:off x="1419225" y="3019426"/>
                <a:ext cx="7753350" cy="305306"/>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258048" name="Line Callout 1 (Border and Accent Bar) 258047"/>
          <xdr:cNvSpPr/>
        </xdr:nvSpPr>
        <xdr:spPr>
          <a:xfrm>
            <a:off x="10220325" y="2724149"/>
            <a:ext cx="1143000" cy="704851"/>
          </a:xfrm>
          <a:prstGeom prst="accentBorderCallout1">
            <a:avLst>
              <a:gd name="adj1" fmla="val 67613"/>
              <a:gd name="adj2" fmla="val -3138"/>
              <a:gd name="adj3" fmla="val 67595"/>
              <a:gd name="adj4" fmla="val -94296"/>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section</a:t>
            </a:r>
            <a:r>
              <a:rPr lang="en-GB" sz="900" baseline="0"/>
              <a:t> of the report you are viewing</a:t>
            </a:r>
            <a:endParaRPr lang="en-GB" sz="900"/>
          </a:p>
        </xdr:txBody>
      </xdr:sp>
      <xdr:sp macro="" textlink="">
        <xdr:nvSpPr>
          <xdr:cNvPr id="45" name="Line Callout 1 (Border and Accent Bar) 44"/>
          <xdr:cNvSpPr/>
        </xdr:nvSpPr>
        <xdr:spPr>
          <a:xfrm>
            <a:off x="6210301" y="2400298"/>
            <a:ext cx="1352550" cy="514351"/>
          </a:xfrm>
          <a:prstGeom prst="accentBorderCallout1">
            <a:avLst>
              <a:gd name="adj1" fmla="val 53935"/>
              <a:gd name="adj2" fmla="val -2013"/>
              <a:gd name="adj3" fmla="val 119908"/>
              <a:gd name="adj4" fmla="val -15874"/>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a:t>
            </a:r>
            <a:r>
              <a:rPr lang="en-GB" sz="900" b="1" i="1"/>
              <a:t>Years </a:t>
            </a:r>
            <a:r>
              <a:rPr lang="en-GB" sz="900"/>
              <a:t>shown and</a:t>
            </a:r>
          </a:p>
          <a:p>
            <a:pPr algn="l"/>
            <a:r>
              <a:rPr lang="en-GB" sz="900" b="1" i="1"/>
              <a:t>Indexation</a:t>
            </a:r>
            <a:r>
              <a:rPr lang="en-GB" sz="900" b="1" i="1" baseline="0"/>
              <a:t> </a:t>
            </a:r>
            <a:r>
              <a:rPr lang="en-GB" sz="900" baseline="0"/>
              <a:t>being applied (if applicable)</a:t>
            </a:r>
            <a:endParaRPr lang="en-GB" sz="900"/>
          </a:p>
        </xdr:txBody>
      </xdr:sp>
      <xdr:sp macro="" textlink="">
        <xdr:nvSpPr>
          <xdr:cNvPr id="47" name="Line Callout 1 (Border and Accent Bar) 46"/>
          <xdr:cNvSpPr/>
        </xdr:nvSpPr>
        <xdr:spPr>
          <a:xfrm>
            <a:off x="2143125" y="2409824"/>
            <a:ext cx="3695700" cy="514351"/>
          </a:xfrm>
          <a:prstGeom prst="accentBorderCallout1">
            <a:avLst>
              <a:gd name="adj1" fmla="val 52083"/>
              <a:gd name="adj2" fmla="val -1117"/>
              <a:gd name="adj3" fmla="val 119908"/>
              <a:gd name="adj4" fmla="val -15874"/>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period covered</a:t>
            </a:r>
            <a:r>
              <a:rPr lang="en-GB" sz="900" baseline="0"/>
              <a:t> by the report</a:t>
            </a:r>
          </a:p>
          <a:p>
            <a:pPr algn="l"/>
            <a:r>
              <a:rPr lang="en-GB" sz="900" baseline="0"/>
              <a:t>The geographical / administrative area covered by the report</a:t>
            </a:r>
            <a:endParaRPr lang="en-GB" sz="900"/>
          </a:p>
        </xdr:txBody>
      </xdr:sp>
    </xdr:grpSp>
    <xdr:clientData/>
  </xdr:twoCellAnchor>
  <xdr:twoCellAnchor>
    <xdr:from>
      <xdr:col>4</xdr:col>
      <xdr:colOff>133350</xdr:colOff>
      <xdr:row>18</xdr:row>
      <xdr:rowOff>104774</xdr:rowOff>
    </xdr:from>
    <xdr:to>
      <xdr:col>23</xdr:col>
      <xdr:colOff>190501</xdr:colOff>
      <xdr:row>25</xdr:row>
      <xdr:rowOff>142875</xdr:rowOff>
    </xdr:to>
    <xdr:grpSp>
      <xdr:nvGrpSpPr>
        <xdr:cNvPr id="258053" name="Group 258052"/>
        <xdr:cNvGrpSpPr/>
      </xdr:nvGrpSpPr>
      <xdr:grpSpPr>
        <a:xfrm>
          <a:off x="1428750" y="3905249"/>
          <a:ext cx="9963151" cy="1438276"/>
          <a:chOff x="1428750" y="4029074"/>
          <a:chExt cx="9963151" cy="1438276"/>
        </a:xfrm>
      </xdr:grpSpPr>
      <mc:AlternateContent xmlns:mc="http://schemas.openxmlformats.org/markup-compatibility/2006" xmlns:a14="http://schemas.microsoft.com/office/drawing/2010/main">
        <mc:Choice Requires="a14">
          <xdr:pic>
            <xdr:nvPicPr>
              <xdr:cNvPr id="50" name="Picture 49"/>
              <xdr:cNvPicPr>
                <a:picLocks noChangeAspect="1" noChangeArrowheads="1"/>
                <a:extLst>
                  <a:ext uri="{84589F7E-364E-4C9E-8A38-B11213B215E9}">
                    <a14:cameraTool cellRange="'COMPARATIVE HEADLINES'!$E$4:$X$5" spid="_x0000_s258508"/>
                  </a:ext>
                </a:extLst>
              </xdr:cNvPicPr>
            </xdr:nvPicPr>
            <xdr:blipFill>
              <a:blip xmlns:r="http://schemas.openxmlformats.org/officeDocument/2006/relationships" r:embed="rId6"/>
              <a:srcRect/>
              <a:stretch>
                <a:fillRect/>
              </a:stretch>
            </xdr:blipFill>
            <xdr:spPr bwMode="auto">
              <a:xfrm>
                <a:off x="1428750" y="4848225"/>
                <a:ext cx="7753320" cy="504108"/>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52" name="Line Callout 1 (Border and Accent Bar) 51"/>
          <xdr:cNvSpPr/>
        </xdr:nvSpPr>
        <xdr:spPr>
          <a:xfrm>
            <a:off x="2038350" y="4029074"/>
            <a:ext cx="9353549" cy="733426"/>
          </a:xfrm>
          <a:prstGeom prst="accentBorderCallout1">
            <a:avLst>
              <a:gd name="adj1" fmla="val 70698"/>
              <a:gd name="adj2" fmla="val -600"/>
              <a:gd name="adj3" fmla="val 112500"/>
              <a:gd name="adj4" fmla="val -4582"/>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Drop down fields allow you to change the </a:t>
            </a:r>
            <a:r>
              <a:rPr lang="en-GB" sz="900" b="1"/>
              <a:t>Years</a:t>
            </a:r>
            <a:r>
              <a:rPr lang="en-GB" sz="900" b="0" baseline="0"/>
              <a:t> shown in the tables and charts and in some sections of the report allow you to focus on specific </a:t>
            </a:r>
            <a:r>
              <a:rPr lang="en-GB" sz="900" b="1" baseline="0"/>
              <a:t>Visitor Types</a:t>
            </a:r>
            <a:r>
              <a:rPr lang="en-GB" sz="900" b="0" baseline="0"/>
              <a:t>.  Where there is a financial component to the section you are viewing, you will be able to </a:t>
            </a:r>
            <a:r>
              <a:rPr lang="en-GB" sz="900" b="1" baseline="0"/>
              <a:t>Index</a:t>
            </a:r>
            <a:r>
              <a:rPr lang="en-GB" sz="900" b="0" baseline="0"/>
              <a:t> the historic financial data, by applying an inflationary factor based on the most recent report year shown in that report section. Where there is a </a:t>
            </a:r>
            <a:r>
              <a:rPr lang="en-GB" sz="900" b="1" baseline="0"/>
              <a:t>trend</a:t>
            </a:r>
            <a:r>
              <a:rPr lang="en-GB" sz="900" b="0" baseline="0"/>
              <a:t> or comparative element to the section and percentage changes are shown, you have the option to apply </a:t>
            </a:r>
            <a:r>
              <a:rPr lang="en-GB" sz="900" b="1" baseline="0"/>
              <a:t>highlighting</a:t>
            </a:r>
            <a:r>
              <a:rPr lang="en-GB" sz="900" b="0" baseline="0"/>
              <a:t> to those values that are above a certain percentage threshold (+/-3% for example). In the Comparative Headlines section, the </a:t>
            </a:r>
            <a:r>
              <a:rPr lang="en-GB" sz="900" b="1" i="0" baseline="0"/>
              <a:t>Focus Year </a:t>
            </a:r>
            <a:r>
              <a:rPr lang="en-GB" sz="900" b="0" i="0" baseline="0"/>
              <a:t>can be any year from the trend period, the </a:t>
            </a:r>
            <a:r>
              <a:rPr lang="en-GB" sz="900" b="1" i="0" baseline="0"/>
              <a:t>Comparison Year </a:t>
            </a:r>
            <a:r>
              <a:rPr lang="en-GB" sz="900" b="0" i="0" baseline="0"/>
              <a:t>can only be set as a year which is </a:t>
            </a:r>
            <a:r>
              <a:rPr lang="en-GB" sz="900" b="0" i="0" u="sng" baseline="0"/>
              <a:t>earlier</a:t>
            </a:r>
            <a:r>
              <a:rPr lang="en-GB" sz="900" b="0" i="0" baseline="0"/>
              <a:t> than the focus year.</a:t>
            </a:r>
            <a:endParaRPr lang="en-GB" sz="900" b="0" i="0"/>
          </a:p>
        </xdr:txBody>
      </xdr:sp>
      <xdr:sp macro="" textlink="">
        <xdr:nvSpPr>
          <xdr:cNvPr id="54" name="Line Callout 1 (Border and Accent Bar) 53"/>
          <xdr:cNvSpPr/>
        </xdr:nvSpPr>
        <xdr:spPr>
          <a:xfrm>
            <a:off x="9658350" y="4829174"/>
            <a:ext cx="1733551" cy="638176"/>
          </a:xfrm>
          <a:prstGeom prst="accentBorderCallout1">
            <a:avLst>
              <a:gd name="adj1" fmla="val 78451"/>
              <a:gd name="adj2" fmla="val -3388"/>
              <a:gd name="adj3" fmla="val 40291"/>
              <a:gd name="adj4" fmla="val -28602"/>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A link</a:t>
            </a:r>
            <a:r>
              <a:rPr lang="en-GB" sz="900" baseline="0"/>
              <a:t> back to the "Home" page, allowing navigation to each section of the report</a:t>
            </a:r>
            <a:endParaRPr lang="en-GB" sz="900"/>
          </a:p>
        </xdr:txBody>
      </xdr:sp>
    </xdr:grpSp>
    <xdr:clientData/>
  </xdr:twoCellAnchor>
  <xdr:twoCellAnchor>
    <xdr:from>
      <xdr:col>16</xdr:col>
      <xdr:colOff>152400</xdr:colOff>
      <xdr:row>10</xdr:row>
      <xdr:rowOff>95250</xdr:rowOff>
    </xdr:from>
    <xdr:to>
      <xdr:col>20</xdr:col>
      <xdr:colOff>438149</xdr:colOff>
      <xdr:row>13</xdr:row>
      <xdr:rowOff>9526</xdr:rowOff>
    </xdr:to>
    <xdr:sp macro="" textlink="">
      <xdr:nvSpPr>
        <xdr:cNvPr id="58" name="Line Callout 1 (Border and Accent Bar) 57"/>
        <xdr:cNvSpPr/>
      </xdr:nvSpPr>
      <xdr:spPr>
        <a:xfrm>
          <a:off x="7953375" y="2295525"/>
          <a:ext cx="2228849" cy="514351"/>
        </a:xfrm>
        <a:prstGeom prst="accentBorderCallout1">
          <a:avLst>
            <a:gd name="adj1" fmla="val 53935"/>
            <a:gd name="adj2" fmla="val -2013"/>
            <a:gd name="adj3" fmla="val 119908"/>
            <a:gd name="adj4" fmla="val -15874"/>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a:t>
          </a:r>
          <a:r>
            <a:rPr lang="en-GB" sz="900" b="1" i="1"/>
            <a:t>Visitor Type</a:t>
          </a:r>
          <a:r>
            <a:rPr lang="en-GB" sz="900" b="1" i="1" baseline="0"/>
            <a:t> </a:t>
          </a:r>
          <a:r>
            <a:rPr lang="en-GB" sz="900" baseline="0"/>
            <a:t>being presented. This will change in those report sections with </a:t>
          </a:r>
          <a:r>
            <a:rPr lang="en-GB" sz="900" b="1" i="1" baseline="0">
              <a:solidFill>
                <a:schemeClr val="tx1">
                  <a:lumMod val="50000"/>
                  <a:lumOff val="50000"/>
                </a:schemeClr>
              </a:solidFill>
            </a:rPr>
            <a:t>User Controls</a:t>
          </a:r>
          <a:r>
            <a:rPr lang="en-GB" sz="900" b="0" i="0" baseline="0"/>
            <a:t> relating to Visitor Type (Excel File)</a:t>
          </a:r>
          <a:endParaRPr lang="en-GB" sz="9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33130</xdr:colOff>
      <xdr:row>20</xdr:row>
      <xdr:rowOff>30480</xdr:rowOff>
    </xdr:from>
    <xdr:to>
      <xdr:col>8</xdr:col>
      <xdr:colOff>465365</xdr:colOff>
      <xdr:row>23</xdr:row>
      <xdr:rowOff>295275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91441</xdr:colOff>
      <xdr:row>1</xdr:row>
      <xdr:rowOff>106680</xdr:rowOff>
    </xdr:from>
    <xdr:to>
      <xdr:col>4</xdr:col>
      <xdr:colOff>358141</xdr:colOff>
      <xdr:row>2</xdr:row>
      <xdr:rowOff>260040</xdr:rowOff>
    </xdr:to>
    <xdr:pic>
      <xdr:nvPicPr>
        <xdr:cNvPr id="5" name="Picture 4" descr="logovvsm.jpg"/>
        <xdr:cNvPicPr>
          <a:picLocks noChangeAspect="1"/>
        </xdr:cNvPicPr>
      </xdr:nvPicPr>
      <xdr:blipFill>
        <a:blip xmlns:r="http://schemas.openxmlformats.org/officeDocument/2006/relationships" r:embed="rId2"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6" name="TextBox 5"/>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45719</xdr:colOff>
      <xdr:row>25</xdr:row>
      <xdr:rowOff>38101</xdr:rowOff>
    </xdr:from>
    <xdr:to>
      <xdr:col>8</xdr:col>
      <xdr:colOff>403860</xdr:colOff>
      <xdr:row>35</xdr:row>
      <xdr:rowOff>22861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60960</xdr:colOff>
      <xdr:row>3</xdr:row>
      <xdr:rowOff>15240</xdr:rowOff>
    </xdr:from>
    <xdr:to>
      <xdr:col>21</xdr:col>
      <xdr:colOff>45720</xdr:colOff>
      <xdr:row>3</xdr:row>
      <xdr:rowOff>320040</xdr:rowOff>
    </xdr:to>
    <xdr:sp macro="" textlink="">
      <xdr:nvSpPr>
        <xdr:cNvPr id="8" name="Rectangle 7"/>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9" name="Picture 8">
          <a:hlinkClick xmlns:r="http://schemas.openxmlformats.org/officeDocument/2006/relationships" r:id="rId4" tooltip="Home - Navigation Page"/>
        </xdr:cNvPr>
        <xdr:cNvPicPr>
          <a:picLocks noChangeAspect="1"/>
        </xdr:cNvPicPr>
      </xdr:nvPicPr>
      <xdr:blipFill>
        <a:blip xmlns:r="http://schemas.openxmlformats.org/officeDocument/2006/relationships" r:embed="rId5"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17</xdr:col>
      <xdr:colOff>350520</xdr:colOff>
      <xdr:row>25</xdr:row>
      <xdr:rowOff>0</xdr:rowOff>
    </xdr:from>
    <xdr:to>
      <xdr:col>23</xdr:col>
      <xdr:colOff>464819</xdr:colOff>
      <xdr:row>33</xdr:row>
      <xdr:rowOff>198120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20</xdr:row>
      <xdr:rowOff>0</xdr:rowOff>
    </xdr:from>
    <xdr:to>
      <xdr:col>11</xdr:col>
      <xdr:colOff>432235</xdr:colOff>
      <xdr:row>23</xdr:row>
      <xdr:rowOff>289125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20</xdr:row>
      <xdr:rowOff>0</xdr:rowOff>
    </xdr:from>
    <xdr:to>
      <xdr:col>14</xdr:col>
      <xdr:colOff>432235</xdr:colOff>
      <xdr:row>23</xdr:row>
      <xdr:rowOff>289125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20</xdr:row>
      <xdr:rowOff>0</xdr:rowOff>
    </xdr:from>
    <xdr:to>
      <xdr:col>17</xdr:col>
      <xdr:colOff>432235</xdr:colOff>
      <xdr:row>23</xdr:row>
      <xdr:rowOff>289125</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0</xdr:colOff>
      <xdr:row>20</xdr:row>
      <xdr:rowOff>0</xdr:rowOff>
    </xdr:from>
    <xdr:to>
      <xdr:col>20</xdr:col>
      <xdr:colOff>432235</xdr:colOff>
      <xdr:row>23</xdr:row>
      <xdr:rowOff>289125</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0</xdr:colOff>
      <xdr:row>20</xdr:row>
      <xdr:rowOff>0</xdr:rowOff>
    </xdr:from>
    <xdr:to>
      <xdr:col>23</xdr:col>
      <xdr:colOff>432235</xdr:colOff>
      <xdr:row>23</xdr:row>
      <xdr:rowOff>289125</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320040</xdr:colOff>
      <xdr:row>3</xdr:row>
      <xdr:rowOff>331471</xdr:rowOff>
    </xdr:from>
    <xdr:to>
      <xdr:col>16</xdr:col>
      <xdr:colOff>154080</xdr:colOff>
      <xdr:row>4</xdr:row>
      <xdr:rowOff>325696</xdr:rowOff>
    </xdr:to>
    <xdr:sp macro="" textlink="">
      <xdr:nvSpPr>
        <xdr:cNvPr id="22" name="Rectangle 21"/>
        <xdr:cNvSpPr/>
      </xdr:nvSpPr>
      <xdr:spPr>
        <a:xfrm>
          <a:off x="6463665" y="864871"/>
          <a:ext cx="1205640" cy="32760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1242060</xdr:colOff>
      <xdr:row>3</xdr:row>
      <xdr:rowOff>304801</xdr:rowOff>
    </xdr:from>
    <xdr:to>
      <xdr:col>7</xdr:col>
      <xdr:colOff>22860</xdr:colOff>
      <xdr:row>4</xdr:row>
      <xdr:rowOff>329521</xdr:rowOff>
    </xdr:to>
    <xdr:sp macro="" textlink="">
      <xdr:nvSpPr>
        <xdr:cNvPr id="23" name="Rectangle 22"/>
        <xdr:cNvSpPr/>
      </xdr:nvSpPr>
      <xdr:spPr>
        <a:xfrm>
          <a:off x="2583180" y="845821"/>
          <a:ext cx="94488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COMPARISON</a:t>
          </a:r>
        </a:p>
        <a:p>
          <a:pPr algn="ctr"/>
          <a:r>
            <a:rPr lang="en-GB" sz="900" b="1">
              <a:solidFill>
                <a:schemeClr val="bg1"/>
              </a:solidFill>
            </a:rPr>
            <a:t>YEAR</a:t>
          </a:r>
          <a:endParaRPr lang="en-GB" sz="900" b="1" baseline="0">
            <a:solidFill>
              <a:schemeClr val="bg1"/>
            </a:solidFill>
          </a:endParaRPr>
        </a:p>
      </xdr:txBody>
    </xdr:sp>
    <xdr:clientData fPrintsWithSheet="0"/>
  </xdr:twoCellAnchor>
  <xdr:twoCellAnchor>
    <xdr:from>
      <xdr:col>17</xdr:col>
      <xdr:colOff>289560</xdr:colOff>
      <xdr:row>3</xdr:row>
      <xdr:rowOff>304801</xdr:rowOff>
    </xdr:from>
    <xdr:to>
      <xdr:col>21</xdr:col>
      <xdr:colOff>199800</xdr:colOff>
      <xdr:row>4</xdr:row>
      <xdr:rowOff>329521</xdr:rowOff>
    </xdr:to>
    <xdr:sp macro="" textlink="">
      <xdr:nvSpPr>
        <xdr:cNvPr id="24" name="Rectangle 23"/>
        <xdr:cNvSpPr/>
      </xdr:nvSpPr>
      <xdr:spPr>
        <a:xfrm>
          <a:off x="851916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190500</xdr:colOff>
          <xdr:row>4</xdr:row>
          <xdr:rowOff>19050</xdr:rowOff>
        </xdr:from>
        <xdr:to>
          <xdr:col>22</xdr:col>
          <xdr:colOff>276225</xdr:colOff>
          <xdr:row>4</xdr:row>
          <xdr:rowOff>295275</xdr:rowOff>
        </xdr:to>
        <xdr:sp macro="" textlink="">
          <xdr:nvSpPr>
            <xdr:cNvPr id="109573" name="Drop Down 5" hidden="1">
              <a:extLst>
                <a:ext uri="{63B3BB69-23CF-44E3-9099-C40C66FF867C}">
                  <a14:compatExt spid="_x0000_s1095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4</xdr:row>
          <xdr:rowOff>19050</xdr:rowOff>
        </xdr:from>
        <xdr:to>
          <xdr:col>8</xdr:col>
          <xdr:colOff>142875</xdr:colOff>
          <xdr:row>4</xdr:row>
          <xdr:rowOff>295275</xdr:rowOff>
        </xdr:to>
        <xdr:sp macro="" textlink="">
          <xdr:nvSpPr>
            <xdr:cNvPr id="109574" name="Drop Down 6" hidden="1">
              <a:extLst>
                <a:ext uri="{63B3BB69-23CF-44E3-9099-C40C66FF867C}">
                  <a14:compatExt spid="_x0000_s1095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4</xdr:row>
          <xdr:rowOff>19050</xdr:rowOff>
        </xdr:from>
        <xdr:to>
          <xdr:col>17</xdr:col>
          <xdr:colOff>295275</xdr:colOff>
          <xdr:row>4</xdr:row>
          <xdr:rowOff>295275</xdr:rowOff>
        </xdr:to>
        <xdr:sp macro="" textlink="">
          <xdr:nvSpPr>
            <xdr:cNvPr id="109575" name="Drop Down 7" hidden="1">
              <a:extLst>
                <a:ext uri="{63B3BB69-23CF-44E3-9099-C40C66FF867C}">
                  <a14:compatExt spid="_x0000_s1095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22860</xdr:colOff>
      <xdr:row>4</xdr:row>
      <xdr:rowOff>0</xdr:rowOff>
    </xdr:from>
    <xdr:to>
      <xdr:col>4</xdr:col>
      <xdr:colOff>586740</xdr:colOff>
      <xdr:row>4</xdr:row>
      <xdr:rowOff>327660</xdr:rowOff>
    </xdr:to>
    <xdr:sp macro="" textlink="">
      <xdr:nvSpPr>
        <xdr:cNvPr id="28" name="Rectangle 27"/>
        <xdr:cNvSpPr/>
      </xdr:nvSpPr>
      <xdr:spPr>
        <a:xfrm>
          <a:off x="1363980" y="876300"/>
          <a:ext cx="563880" cy="327660"/>
        </a:xfrm>
        <a:prstGeom prst="rect">
          <a:avLst/>
        </a:prstGeom>
        <a:solidFill>
          <a:schemeClr val="tx2"/>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FOCUS</a:t>
          </a:r>
        </a:p>
        <a:p>
          <a:pPr algn="ctr"/>
          <a:r>
            <a:rPr lang="en-GB" sz="900" b="1" baseline="0">
              <a:solidFill>
                <a:schemeClr val="bg1"/>
              </a:solidFill>
            </a:rPr>
            <a:t>YEAR</a:t>
          </a:r>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609600</xdr:colOff>
          <xdr:row>4</xdr:row>
          <xdr:rowOff>19050</xdr:rowOff>
        </xdr:from>
        <xdr:to>
          <xdr:col>5</xdr:col>
          <xdr:colOff>0</xdr:colOff>
          <xdr:row>4</xdr:row>
          <xdr:rowOff>295275</xdr:rowOff>
        </xdr:to>
        <xdr:sp macro="" textlink="">
          <xdr:nvSpPr>
            <xdr:cNvPr id="109576" name="Drop Down 8" hidden="1">
              <a:extLst>
                <a:ext uri="{63B3BB69-23CF-44E3-9099-C40C66FF867C}">
                  <a14:compatExt spid="_x0000_s1095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259080</xdr:colOff>
      <xdr:row>1</xdr:row>
      <xdr:rowOff>99060</xdr:rowOff>
    </xdr:from>
    <xdr:to>
      <xdr:col>22</xdr:col>
      <xdr:colOff>205740</xdr:colOff>
      <xdr:row>2</xdr:row>
      <xdr:rowOff>198120</xdr:rowOff>
    </xdr:to>
    <xdr:sp macro="" textlink="">
      <xdr:nvSpPr>
        <xdr:cNvPr id="25" name="Rectangle 24"/>
        <xdr:cNvSpPr/>
      </xdr:nvSpPr>
      <xdr:spPr>
        <a:xfrm>
          <a:off x="3764280" y="9906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255270</xdr:colOff>
      <xdr:row>2</xdr:row>
      <xdr:rowOff>19050</xdr:rowOff>
    </xdr:from>
    <xdr:to>
      <xdr:col>23</xdr:col>
      <xdr:colOff>213360</xdr:colOff>
      <xdr:row>2</xdr:row>
      <xdr:rowOff>289560</xdr:rowOff>
    </xdr:to>
    <xdr:sp macro="" textlink="">
      <xdr:nvSpPr>
        <xdr:cNvPr id="26" name="Bent Arrow 25"/>
        <xdr:cNvSpPr/>
      </xdr:nvSpPr>
      <xdr:spPr>
        <a:xfrm rot="5400000">
          <a:off x="10927080" y="14478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304800</xdr:colOff>
      <xdr:row>4</xdr:row>
      <xdr:rowOff>0</xdr:rowOff>
    </xdr:from>
    <xdr:to>
      <xdr:col>16</xdr:col>
      <xdr:colOff>138840</xdr:colOff>
      <xdr:row>4</xdr:row>
      <xdr:rowOff>327600</xdr:rowOff>
    </xdr:to>
    <xdr:sp macro="" textlink="">
      <xdr:nvSpPr>
        <xdr:cNvPr id="33" name="Rectangle 32"/>
        <xdr:cNvSpPr/>
      </xdr:nvSpPr>
      <xdr:spPr>
        <a:xfrm>
          <a:off x="6448425" y="866775"/>
          <a:ext cx="1205640" cy="32760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4</xdr:col>
      <xdr:colOff>30480</xdr:colOff>
      <xdr:row>9</xdr:row>
      <xdr:rowOff>38100</xdr:rowOff>
    </xdr:from>
    <xdr:to>
      <xdr:col>13</xdr:col>
      <xdr:colOff>457200</xdr:colOff>
      <xdr:row>18</xdr:row>
      <xdr:rowOff>166440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39266" name="Drop Down 2" hidden="1">
              <a:extLst>
                <a:ext uri="{63B3BB69-23CF-44E3-9099-C40C66FF867C}">
                  <a14:compatExt spid="_x0000_s139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14" name="Rectangle 13"/>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39267" name="Drop Down 3" hidden="1">
              <a:extLst>
                <a:ext uri="{63B3BB69-23CF-44E3-9099-C40C66FF867C}">
                  <a14:compatExt spid="_x0000_s139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6" name="Rectangle 15"/>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7" name="Bent Arrow 16"/>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18" name="TextBox 17"/>
        <xdr:cNvSpPr txBox="1"/>
      </xdr:nvSpPr>
      <xdr:spPr>
        <a:xfrm>
          <a:off x="8742045" y="6069329"/>
          <a:ext cx="306704" cy="161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14</xdr:col>
      <xdr:colOff>22860</xdr:colOff>
      <xdr:row>9</xdr:row>
      <xdr:rowOff>38100</xdr:rowOff>
    </xdr:from>
    <xdr:to>
      <xdr:col>23</xdr:col>
      <xdr:colOff>403860</xdr:colOff>
      <xdr:row>18</xdr:row>
      <xdr:rowOff>166440</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30480</xdr:colOff>
      <xdr:row>21</xdr:row>
      <xdr:rowOff>38100</xdr:rowOff>
    </xdr:from>
    <xdr:to>
      <xdr:col>13</xdr:col>
      <xdr:colOff>457200</xdr:colOff>
      <xdr:row>30</xdr:row>
      <xdr:rowOff>166440</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30480</xdr:colOff>
      <xdr:row>21</xdr:row>
      <xdr:rowOff>38100</xdr:rowOff>
    </xdr:from>
    <xdr:to>
      <xdr:col>23</xdr:col>
      <xdr:colOff>411480</xdr:colOff>
      <xdr:row>30</xdr:row>
      <xdr:rowOff>166440</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22860</xdr:colOff>
          <xdr:row>9</xdr:row>
          <xdr:rowOff>53340</xdr:rowOff>
        </xdr:from>
        <xdr:to>
          <xdr:col>4</xdr:col>
          <xdr:colOff>495177</xdr:colOff>
          <xdr:row>18</xdr:row>
          <xdr:rowOff>2029</xdr:rowOff>
        </xdr:to>
        <xdr:pic>
          <xdr:nvPicPr>
            <xdr:cNvPr id="25" name="Picture 24"/>
            <xdr:cNvPicPr>
              <a:picLocks noChangeAspect="1" noChangeArrowheads="1"/>
              <a:extLst>
                <a:ext uri="{84589F7E-364E-4C9E-8A38-B11213B215E9}">
                  <a14:cameraTool cellRange="'ECONOMIC IMPACT'!$E$17:$E$27" spid="_x0000_s342341"/>
                </a:ext>
              </a:extLst>
            </xdr:cNvPicPr>
          </xdr:nvPicPr>
          <xdr:blipFill rotWithShape="1">
            <a:blip xmlns:r="http://schemas.openxmlformats.org/officeDocument/2006/relationships" r:embed="rId8"/>
            <a:srcRect l="60695" r="-5005"/>
            <a:stretch>
              <a:fillRect/>
            </a:stretch>
          </xdr:blipFill>
          <xdr:spPr bwMode="auto">
            <a:xfrm>
              <a:off x="1363980" y="2087880"/>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9</xdr:row>
          <xdr:rowOff>53339</xdr:rowOff>
        </xdr:from>
        <xdr:to>
          <xdr:col>4</xdr:col>
          <xdr:colOff>792480</xdr:colOff>
          <xdr:row>17</xdr:row>
          <xdr:rowOff>196030</xdr:rowOff>
        </xdr:to>
        <xdr:pic>
          <xdr:nvPicPr>
            <xdr:cNvPr id="26" name="Picture 25"/>
            <xdr:cNvPicPr>
              <a:picLocks noChangeAspect="1" noChangeArrowheads="1"/>
              <a:extLst>
                <a:ext uri="{84589F7E-364E-4C9E-8A38-B11213B215E9}">
                  <a14:cameraTool cellRange="'ECONOMIC IMPACT'!$T$17:$T$27" spid="_x0000_s342342"/>
                </a:ext>
              </a:extLst>
            </xdr:cNvPicPr>
          </xdr:nvPicPr>
          <xdr:blipFill>
            <a:blip xmlns:r="http://schemas.openxmlformats.org/officeDocument/2006/relationships" r:embed="rId9"/>
            <a:srcRect/>
            <a:stretch>
              <a:fillRect/>
            </a:stretch>
          </xdr:blipFill>
          <xdr:spPr bwMode="auto">
            <a:xfrm>
              <a:off x="1760220" y="2087879"/>
              <a:ext cx="373380" cy="178861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3</xdr:col>
      <xdr:colOff>327660</xdr:colOff>
      <xdr:row>8</xdr:row>
      <xdr:rowOff>15686</xdr:rowOff>
    </xdr:from>
    <xdr:ext cx="800100" cy="250453"/>
    <xdr:sp macro="" textlink="">
      <xdr:nvSpPr>
        <xdr:cNvPr id="13" name="TextBox 12"/>
        <xdr:cNvSpPr txBox="1"/>
      </xdr:nvSpPr>
      <xdr:spPr>
        <a:xfrm>
          <a:off x="1333500" y="1844486"/>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xdr:twoCellAnchor>
    <xdr:from>
      <xdr:col>17</xdr:col>
      <xdr:colOff>297180</xdr:colOff>
      <xdr:row>3</xdr:row>
      <xdr:rowOff>297180</xdr:rowOff>
    </xdr:from>
    <xdr:to>
      <xdr:col>21</xdr:col>
      <xdr:colOff>207420</xdr:colOff>
      <xdr:row>4</xdr:row>
      <xdr:rowOff>321900</xdr:rowOff>
    </xdr:to>
    <xdr:sp macro="" textlink="">
      <xdr:nvSpPr>
        <xdr:cNvPr id="31" name="Rectangle 30"/>
        <xdr:cNvSpPr/>
      </xdr:nvSpPr>
      <xdr:spPr>
        <a:xfrm>
          <a:off x="8526780" y="838200"/>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200025</xdr:colOff>
          <xdr:row>4</xdr:row>
          <xdr:rowOff>19050</xdr:rowOff>
        </xdr:from>
        <xdr:to>
          <xdr:col>22</xdr:col>
          <xdr:colOff>285750</xdr:colOff>
          <xdr:row>4</xdr:row>
          <xdr:rowOff>285750</xdr:rowOff>
        </xdr:to>
        <xdr:sp macro="" textlink="">
          <xdr:nvSpPr>
            <xdr:cNvPr id="139270" name="Drop Down 6" hidden="1">
              <a:extLst>
                <a:ext uri="{63B3BB69-23CF-44E3-9099-C40C66FF867C}">
                  <a14:compatExt spid="_x0000_s139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9</xdr:row>
          <xdr:rowOff>38100</xdr:rowOff>
        </xdr:from>
        <xdr:to>
          <xdr:col>15</xdr:col>
          <xdr:colOff>1782</xdr:colOff>
          <xdr:row>17</xdr:row>
          <xdr:rowOff>186814</xdr:rowOff>
        </xdr:to>
        <xdr:pic>
          <xdr:nvPicPr>
            <xdr:cNvPr id="32" name="Picture 31"/>
            <xdr:cNvPicPr>
              <a:picLocks noChangeAspect="1" noChangeArrowheads="1"/>
              <a:extLst>
                <a:ext uri="{84589F7E-364E-4C9E-8A38-B11213B215E9}">
                  <a14:cameraTool cellRange="'VISITOR NUMBERS'!$E$17:$E$27" spid="_x0000_s342343"/>
                </a:ext>
              </a:extLst>
            </xdr:cNvPicPr>
          </xdr:nvPicPr>
          <xdr:blipFill rotWithShape="1">
            <a:blip xmlns:r="http://schemas.openxmlformats.org/officeDocument/2006/relationships" r:embed="rId8"/>
            <a:srcRect l="60695" r="-5005"/>
            <a:stretch>
              <a:fillRect/>
            </a:stretch>
          </xdr:blipFill>
          <xdr:spPr bwMode="auto">
            <a:xfrm>
              <a:off x="6842760" y="2072640"/>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407670</xdr:colOff>
          <xdr:row>9</xdr:row>
          <xdr:rowOff>38099</xdr:rowOff>
        </xdr:from>
        <xdr:to>
          <xdr:col>15</xdr:col>
          <xdr:colOff>280035</xdr:colOff>
          <xdr:row>17</xdr:row>
          <xdr:rowOff>180790</xdr:rowOff>
        </xdr:to>
        <xdr:pic>
          <xdr:nvPicPr>
            <xdr:cNvPr id="39" name="Picture 38"/>
            <xdr:cNvPicPr>
              <a:picLocks noChangeAspect="1" noChangeArrowheads="1"/>
              <a:extLst>
                <a:ext uri="{84589F7E-364E-4C9E-8A38-B11213B215E9}">
                  <a14:cameraTool cellRange="'VISITOR NUMBERS'!$T$17:$T$27" spid="_x0000_s342344"/>
                </a:ext>
              </a:extLst>
            </xdr:cNvPicPr>
          </xdr:nvPicPr>
          <xdr:blipFill>
            <a:blip xmlns:r="http://schemas.openxmlformats.org/officeDocument/2006/relationships" r:embed="rId10"/>
            <a:srcRect/>
            <a:stretch>
              <a:fillRect/>
            </a:stretch>
          </xdr:blipFill>
          <xdr:spPr bwMode="auto">
            <a:xfrm>
              <a:off x="7008495" y="2038349"/>
              <a:ext cx="358140" cy="174289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14</xdr:col>
      <xdr:colOff>0</xdr:colOff>
      <xdr:row>8</xdr:row>
      <xdr:rowOff>446</xdr:rowOff>
    </xdr:from>
    <xdr:ext cx="800100" cy="250453"/>
    <xdr:sp macro="" textlink="">
      <xdr:nvSpPr>
        <xdr:cNvPr id="40" name="TextBox 39"/>
        <xdr:cNvSpPr txBox="1"/>
      </xdr:nvSpPr>
      <xdr:spPr>
        <a:xfrm>
          <a:off x="6812280" y="1829246"/>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mc:AlternateContent xmlns:mc="http://schemas.openxmlformats.org/markup-compatibility/2006">
    <mc:Choice xmlns:a14="http://schemas.microsoft.com/office/drawing/2010/main" Requires="a14">
      <xdr:twoCellAnchor editAs="oneCell">
        <xdr:from>
          <xdr:col>4</xdr:col>
          <xdr:colOff>45720</xdr:colOff>
          <xdr:row>21</xdr:row>
          <xdr:rowOff>38100</xdr:rowOff>
        </xdr:from>
        <xdr:to>
          <xdr:col>4</xdr:col>
          <xdr:colOff>518037</xdr:colOff>
          <xdr:row>29</xdr:row>
          <xdr:rowOff>186814</xdr:rowOff>
        </xdr:to>
        <xdr:pic>
          <xdr:nvPicPr>
            <xdr:cNvPr id="41" name="Picture 40"/>
            <xdr:cNvPicPr>
              <a:picLocks noChangeAspect="1" noChangeArrowheads="1"/>
              <a:extLst>
                <a:ext uri="{84589F7E-364E-4C9E-8A38-B11213B215E9}">
                  <a14:cameraTool cellRange="'VISITOR DAYS'!$E$17:$E$27" spid="_x0000_s342345"/>
                </a:ext>
              </a:extLst>
            </xdr:cNvPicPr>
          </xdr:nvPicPr>
          <xdr:blipFill rotWithShape="1">
            <a:blip xmlns:r="http://schemas.openxmlformats.org/officeDocument/2006/relationships" r:embed="rId8"/>
            <a:srcRect l="60695" r="-5005"/>
            <a:stretch>
              <a:fillRect/>
            </a:stretch>
          </xdr:blipFill>
          <xdr:spPr bwMode="auto">
            <a:xfrm>
              <a:off x="1386840" y="4335780"/>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441960</xdr:colOff>
          <xdr:row>21</xdr:row>
          <xdr:rowOff>38099</xdr:rowOff>
        </xdr:from>
        <xdr:to>
          <xdr:col>4</xdr:col>
          <xdr:colOff>815340</xdr:colOff>
          <xdr:row>29</xdr:row>
          <xdr:rowOff>180790</xdr:rowOff>
        </xdr:to>
        <xdr:pic>
          <xdr:nvPicPr>
            <xdr:cNvPr id="42" name="Picture 41"/>
            <xdr:cNvPicPr>
              <a:picLocks noChangeAspect="1" noChangeArrowheads="1"/>
              <a:extLst>
                <a:ext uri="{84589F7E-364E-4C9E-8A38-B11213B215E9}">
                  <a14:cameraTool cellRange="'VISITOR DAYS'!$T$17:$T$27" spid="_x0000_s342346"/>
                </a:ext>
              </a:extLst>
            </xdr:cNvPicPr>
          </xdr:nvPicPr>
          <xdr:blipFill>
            <a:blip xmlns:r="http://schemas.openxmlformats.org/officeDocument/2006/relationships" r:embed="rId11"/>
            <a:srcRect/>
            <a:stretch>
              <a:fillRect/>
            </a:stretch>
          </xdr:blipFill>
          <xdr:spPr bwMode="auto">
            <a:xfrm>
              <a:off x="1783080" y="4335779"/>
              <a:ext cx="373380" cy="178861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4</xdr:col>
      <xdr:colOff>15240</xdr:colOff>
      <xdr:row>20</xdr:row>
      <xdr:rowOff>446</xdr:rowOff>
    </xdr:from>
    <xdr:ext cx="800100" cy="250453"/>
    <xdr:sp macro="" textlink="">
      <xdr:nvSpPr>
        <xdr:cNvPr id="43" name="TextBox 42"/>
        <xdr:cNvSpPr txBox="1"/>
      </xdr:nvSpPr>
      <xdr:spPr>
        <a:xfrm>
          <a:off x="1356360" y="4092386"/>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mc:AlternateContent xmlns:mc="http://schemas.openxmlformats.org/markup-compatibility/2006">
    <mc:Choice xmlns:a14="http://schemas.microsoft.com/office/drawing/2010/main" Requires="a14">
      <xdr:twoCellAnchor editAs="oneCell">
        <xdr:from>
          <xdr:col>14</xdr:col>
          <xdr:colOff>68580</xdr:colOff>
          <xdr:row>21</xdr:row>
          <xdr:rowOff>37654</xdr:rowOff>
        </xdr:from>
        <xdr:to>
          <xdr:col>15</xdr:col>
          <xdr:colOff>39882</xdr:colOff>
          <xdr:row>29</xdr:row>
          <xdr:rowOff>186368</xdr:rowOff>
        </xdr:to>
        <xdr:pic>
          <xdr:nvPicPr>
            <xdr:cNvPr id="44" name="Picture 43"/>
            <xdr:cNvPicPr>
              <a:picLocks noChangeAspect="1" noChangeArrowheads="1"/>
              <a:extLst>
                <a:ext uri="{84589F7E-364E-4C9E-8A38-B11213B215E9}">
                  <a14:cameraTool cellRange="EMPLOYMENT!$E$17:$E$27" spid="_x0000_s342347"/>
                </a:ext>
              </a:extLst>
            </xdr:cNvPicPr>
          </xdr:nvPicPr>
          <xdr:blipFill rotWithShape="1">
            <a:blip xmlns:r="http://schemas.openxmlformats.org/officeDocument/2006/relationships" r:embed="rId8"/>
            <a:srcRect l="60695" r="-5005"/>
            <a:stretch>
              <a:fillRect/>
            </a:stretch>
          </xdr:blipFill>
          <xdr:spPr bwMode="auto">
            <a:xfrm>
              <a:off x="6880860" y="4335334"/>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464820</xdr:colOff>
          <xdr:row>21</xdr:row>
          <xdr:rowOff>37653</xdr:rowOff>
        </xdr:from>
        <xdr:to>
          <xdr:col>15</xdr:col>
          <xdr:colOff>346710</xdr:colOff>
          <xdr:row>29</xdr:row>
          <xdr:rowOff>180344</xdr:rowOff>
        </xdr:to>
        <xdr:pic>
          <xdr:nvPicPr>
            <xdr:cNvPr id="45" name="Picture 44"/>
            <xdr:cNvPicPr>
              <a:picLocks noChangeAspect="1" noChangeArrowheads="1"/>
              <a:extLst>
                <a:ext uri="{84589F7E-364E-4C9E-8A38-B11213B215E9}">
                  <a14:cameraTool cellRange="EMPLOYMENT!$T$17:$T$27" spid="_x0000_s342348"/>
                </a:ext>
              </a:extLst>
            </xdr:cNvPicPr>
          </xdr:nvPicPr>
          <xdr:blipFill>
            <a:blip xmlns:r="http://schemas.openxmlformats.org/officeDocument/2006/relationships" r:embed="rId12"/>
            <a:srcRect/>
            <a:stretch>
              <a:fillRect/>
            </a:stretch>
          </xdr:blipFill>
          <xdr:spPr bwMode="auto">
            <a:xfrm>
              <a:off x="7277100" y="4335333"/>
              <a:ext cx="373380" cy="178861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14</xdr:col>
      <xdr:colOff>38100</xdr:colOff>
      <xdr:row>20</xdr:row>
      <xdr:rowOff>0</xdr:rowOff>
    </xdr:from>
    <xdr:ext cx="800100" cy="250453"/>
    <xdr:sp macro="" textlink="">
      <xdr:nvSpPr>
        <xdr:cNvPr id="46" name="TextBox 45"/>
        <xdr:cNvSpPr txBox="1"/>
      </xdr:nvSpPr>
      <xdr:spPr>
        <a:xfrm>
          <a:off x="6850380" y="4091940"/>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285750</xdr:colOff>
      <xdr:row>4</xdr:row>
      <xdr:rowOff>152400</xdr:rowOff>
    </xdr:from>
    <xdr:to>
      <xdr:col>16</xdr:col>
      <xdr:colOff>138840</xdr:colOff>
      <xdr:row>4</xdr:row>
      <xdr:rowOff>314326</xdr:rowOff>
    </xdr:to>
    <xdr:sp macro="" textlink="">
      <xdr:nvSpPr>
        <xdr:cNvPr id="34" name="Rectangle 33"/>
        <xdr:cNvSpPr/>
      </xdr:nvSpPr>
      <xdr:spPr>
        <a:xfrm>
          <a:off x="5972175" y="1019175"/>
          <a:ext cx="1681890" cy="161926"/>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12</xdr:col>
      <xdr:colOff>285750</xdr:colOff>
      <xdr:row>4</xdr:row>
      <xdr:rowOff>1</xdr:rowOff>
    </xdr:from>
    <xdr:to>
      <xdr:col>16</xdr:col>
      <xdr:colOff>138840</xdr:colOff>
      <xdr:row>4</xdr:row>
      <xdr:rowOff>158328</xdr:rowOff>
    </xdr:to>
    <xdr:sp macro="" textlink="M5">
      <xdr:nvSpPr>
        <xdr:cNvPr id="2" name="Rectangle 1"/>
        <xdr:cNvSpPr/>
      </xdr:nvSpPr>
      <xdr:spPr>
        <a:xfrm>
          <a:off x="5972175" y="866776"/>
          <a:ext cx="1681890" cy="158327"/>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fld id="{E78AF480-5E6A-4795-BF5C-6A90553519FD}" type="TxLink">
            <a:rPr lang="en-US" sz="900" b="1" i="0" u="none" strike="noStrike">
              <a:solidFill>
                <a:schemeClr val="bg1"/>
              </a:solidFill>
              <a:latin typeface="Calibri"/>
            </a:rPr>
            <a:pPr algn="ctr"/>
            <a:t>INDEXATION TO 2013 PRICES</a:t>
          </a:fld>
          <a:endParaRPr lang="en-GB" sz="900" b="1">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699260" y="99060"/>
          <a:ext cx="1952625"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5" name="Rectangle 4"/>
        <xdr:cNvSpPr/>
      </xdr:nvSpPr>
      <xdr:spPr>
        <a:xfrm>
          <a:off x="1356360" y="548640"/>
          <a:ext cx="8490585"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6" name="Picture 5">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578466" y="579121"/>
          <a:ext cx="563880" cy="5868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88417" name="Drop Down 1" hidden="1">
              <a:extLst>
                <a:ext uri="{63B3BB69-23CF-44E3-9099-C40C66FF867C}">
                  <a14:compatExt spid="_x0000_s188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1" name="Rectangle 10"/>
        <xdr:cNvSpPr/>
      </xdr:nvSpPr>
      <xdr:spPr>
        <a:xfrm>
          <a:off x="3636645" y="91440"/>
          <a:ext cx="6804660"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2" name="Bent Arrow 11"/>
        <xdr:cNvSpPr/>
      </xdr:nvSpPr>
      <xdr:spPr>
        <a:xfrm rot="5400000">
          <a:off x="10563225" y="139065"/>
          <a:ext cx="270510" cy="41529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27</xdr:row>
      <xdr:rowOff>125729</xdr:rowOff>
    </xdr:from>
    <xdr:to>
      <xdr:col>18</xdr:col>
      <xdr:colOff>346709</xdr:colOff>
      <xdr:row>28</xdr:row>
      <xdr:rowOff>81915</xdr:rowOff>
    </xdr:to>
    <xdr:sp macro="" textlink="$F$30">
      <xdr:nvSpPr>
        <xdr:cNvPr id="13" name="TextBox 12"/>
        <xdr:cNvSpPr txBox="1"/>
      </xdr:nvSpPr>
      <xdr:spPr>
        <a:xfrm>
          <a:off x="84696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4</xdr:col>
      <xdr:colOff>19050</xdr:colOff>
      <xdr:row>4</xdr:row>
      <xdr:rowOff>0</xdr:rowOff>
    </xdr:from>
    <xdr:to>
      <xdr:col>5</xdr:col>
      <xdr:colOff>339090</xdr:colOff>
      <xdr:row>4</xdr:row>
      <xdr:rowOff>327660</xdr:rowOff>
    </xdr:to>
    <xdr:sp macro="" textlink="">
      <xdr:nvSpPr>
        <xdr:cNvPr id="31" name="Rectangle 30"/>
        <xdr:cNvSpPr/>
      </xdr:nvSpPr>
      <xdr:spPr>
        <a:xfrm>
          <a:off x="131445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333375</xdr:colOff>
          <xdr:row>4</xdr:row>
          <xdr:rowOff>19050</xdr:rowOff>
        </xdr:from>
        <xdr:to>
          <xdr:col>7</xdr:col>
          <xdr:colOff>200025</xdr:colOff>
          <xdr:row>4</xdr:row>
          <xdr:rowOff>295275</xdr:rowOff>
        </xdr:to>
        <xdr:sp macro="" textlink="">
          <xdr:nvSpPr>
            <xdr:cNvPr id="188420" name="Drop Down 4" hidden="1">
              <a:extLst>
                <a:ext uri="{63B3BB69-23CF-44E3-9099-C40C66FF867C}">
                  <a14:compatExt spid="_x0000_s1884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76200</xdr:colOff>
      <xdr:row>8</xdr:row>
      <xdr:rowOff>0</xdr:rowOff>
    </xdr:from>
    <xdr:to>
      <xdr:col>6</xdr:col>
      <xdr:colOff>142875</xdr:colOff>
      <xdr:row>11</xdr:row>
      <xdr:rowOff>142875</xdr:rowOff>
    </xdr:to>
    <xdr:sp macro="" textlink="G17">
      <xdr:nvSpPr>
        <xdr:cNvPr id="21" name="TextBox 20"/>
        <xdr:cNvSpPr txBox="1"/>
      </xdr:nvSpPr>
      <xdr:spPr>
        <a:xfrm>
          <a:off x="1371600" y="1800225"/>
          <a:ext cx="17145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724554B-7309-4F1F-8241-5B7A45B67123}" type="TxLink">
            <a:rPr lang="en-US" sz="1800" b="1" i="0" u="none" strike="noStrike">
              <a:solidFill>
                <a:schemeClr val="accent1"/>
              </a:solidFill>
              <a:latin typeface="Calibri"/>
            </a:rPr>
            <a:pPr/>
            <a:t>TOTAL
£94.63m</a:t>
          </a:fld>
          <a:endParaRPr lang="en-GB" sz="1800" b="1">
            <a:solidFill>
              <a:schemeClr val="accent1"/>
            </a:solidFill>
          </a:endParaRPr>
        </a:p>
      </xdr:txBody>
    </xdr:sp>
    <xdr:clientData/>
  </xdr:twoCellAnchor>
  <xdr:twoCellAnchor>
    <xdr:from>
      <xdr:col>14</xdr:col>
      <xdr:colOff>28575</xdr:colOff>
      <xdr:row>7</xdr:row>
      <xdr:rowOff>180974</xdr:rowOff>
    </xdr:from>
    <xdr:to>
      <xdr:col>17</xdr:col>
      <xdr:colOff>371475</xdr:colOff>
      <xdr:row>11</xdr:row>
      <xdr:rowOff>123914</xdr:rowOff>
    </xdr:to>
    <xdr:sp macro="" textlink="I17">
      <xdr:nvSpPr>
        <xdr:cNvPr id="48" name="TextBox 47"/>
        <xdr:cNvSpPr txBox="1"/>
      </xdr:nvSpPr>
      <xdr:spPr>
        <a:xfrm>
          <a:off x="6629400" y="1781174"/>
          <a:ext cx="1714500" cy="74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773CCC2-388F-4951-AC62-41FFFC941D2D}" type="TxLink">
            <a:rPr lang="en-US" sz="1800" b="1" i="0" u="none" strike="noStrike">
              <a:solidFill>
                <a:srgbClr val="00B050"/>
              </a:solidFill>
              <a:latin typeface="Calibri"/>
            </a:rPr>
            <a:pPr/>
            <a:t>TOTAL
0.70m</a:t>
          </a:fld>
          <a:endParaRPr lang="en-GB" sz="1800" b="1">
            <a:solidFill>
              <a:srgbClr val="00B050"/>
            </a:solidFill>
          </a:endParaRPr>
        </a:p>
      </xdr:txBody>
    </xdr:sp>
    <xdr:clientData/>
  </xdr:twoCellAnchor>
  <xdr:twoCellAnchor>
    <xdr:from>
      <xdr:col>4</xdr:col>
      <xdr:colOff>38100</xdr:colOff>
      <xdr:row>22</xdr:row>
      <xdr:rowOff>200024</xdr:rowOff>
    </xdr:from>
    <xdr:to>
      <xdr:col>6</xdr:col>
      <xdr:colOff>104775</xdr:colOff>
      <xdr:row>26</xdr:row>
      <xdr:rowOff>142964</xdr:rowOff>
    </xdr:to>
    <xdr:sp macro="" textlink="H17">
      <xdr:nvSpPr>
        <xdr:cNvPr id="49" name="TextBox 48"/>
        <xdr:cNvSpPr txBox="1"/>
      </xdr:nvSpPr>
      <xdr:spPr>
        <a:xfrm>
          <a:off x="1333500" y="4600574"/>
          <a:ext cx="1714500" cy="74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469B2E-A753-4740-9A44-6133D51FAB36}" type="TxLink">
            <a:rPr lang="en-US" sz="1800" b="1" i="0" u="none" strike="noStrike">
              <a:solidFill>
                <a:srgbClr val="FF0000"/>
              </a:solidFill>
              <a:latin typeface="Calibri"/>
            </a:rPr>
            <a:pPr/>
            <a:t>TOTAL
1.75m</a:t>
          </a:fld>
          <a:endParaRPr lang="en-GB" sz="1800" b="1">
            <a:solidFill>
              <a:srgbClr val="FF0000"/>
            </a:solidFill>
          </a:endParaRPr>
        </a:p>
      </xdr:txBody>
    </xdr:sp>
    <xdr:clientData/>
  </xdr:twoCellAnchor>
  <xdr:twoCellAnchor>
    <xdr:from>
      <xdr:col>14</xdr:col>
      <xdr:colOff>28574</xdr:colOff>
      <xdr:row>22</xdr:row>
      <xdr:rowOff>180974</xdr:rowOff>
    </xdr:from>
    <xdr:to>
      <xdr:col>18</xdr:col>
      <xdr:colOff>380999</xdr:colOff>
      <xdr:row>27</xdr:row>
      <xdr:rowOff>123825</xdr:rowOff>
    </xdr:to>
    <xdr:sp macro="" textlink="J17">
      <xdr:nvSpPr>
        <xdr:cNvPr id="50" name="TextBox 49"/>
        <xdr:cNvSpPr txBox="1"/>
      </xdr:nvSpPr>
      <xdr:spPr>
        <a:xfrm>
          <a:off x="6629399" y="4781549"/>
          <a:ext cx="2181225" cy="942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1E001D-D595-4CEF-9B29-E08A4ACEB953}" type="TxLink">
            <a:rPr lang="en-US" sz="1800" b="1" i="0" u="none" strike="noStrike">
              <a:solidFill>
                <a:schemeClr val="accent6"/>
              </a:solidFill>
              <a:latin typeface="Calibri"/>
            </a:rPr>
            <a:pPr/>
            <a:t>TOTAL
2,288 Direct FTEs
2,680 Total FTEs</a:t>
          </a:fld>
          <a:endParaRPr lang="en-GB" sz="1800" b="1">
            <a:solidFill>
              <a:schemeClr val="accent6"/>
            </a:solidFill>
          </a:endParaRPr>
        </a:p>
      </xdr:txBody>
    </xdr:sp>
    <xdr:clientData/>
  </xdr:twoCellAnchor>
  <xdr:twoCellAnchor>
    <xdr:from>
      <xdr:col>16</xdr:col>
      <xdr:colOff>195571</xdr:colOff>
      <xdr:row>8</xdr:row>
      <xdr:rowOff>180975</xdr:rowOff>
    </xdr:from>
    <xdr:to>
      <xdr:col>21</xdr:col>
      <xdr:colOff>321594</xdr:colOff>
      <xdr:row>22</xdr:row>
      <xdr:rowOff>31062</xdr:rowOff>
    </xdr:to>
    <xdr:graphicFrame macro="">
      <xdr:nvGraphicFramePr>
        <xdr:cNvPr id="61" name="Chart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19050</xdr:colOff>
      <xdr:row>8</xdr:row>
      <xdr:rowOff>152399</xdr:rowOff>
    </xdr:from>
    <xdr:to>
      <xdr:col>12</xdr:col>
      <xdr:colOff>180976</xdr:colOff>
      <xdr:row>21</xdr:row>
      <xdr:rowOff>104775</xdr:rowOff>
    </xdr:to>
    <xdr:grpSp>
      <xdr:nvGrpSpPr>
        <xdr:cNvPr id="22" name="Group 21"/>
        <xdr:cNvGrpSpPr/>
      </xdr:nvGrpSpPr>
      <xdr:grpSpPr>
        <a:xfrm>
          <a:off x="1314450" y="1952624"/>
          <a:ext cx="4724401" cy="2552701"/>
          <a:chOff x="1323975" y="2219324"/>
          <a:chExt cx="4552951" cy="2552701"/>
        </a:xfrm>
      </xdr:grpSpPr>
      <xdr:grpSp>
        <xdr:nvGrpSpPr>
          <xdr:cNvPr id="17" name="Group 16"/>
          <xdr:cNvGrpSpPr/>
        </xdr:nvGrpSpPr>
        <xdr:grpSpPr>
          <a:xfrm>
            <a:off x="2895600" y="2219324"/>
            <a:ext cx="2981326" cy="2552701"/>
            <a:chOff x="2895600" y="2219324"/>
            <a:chExt cx="2981326" cy="2552701"/>
          </a:xfrm>
        </xdr:grpSpPr>
        <xdr:graphicFrame macro="">
          <xdr:nvGraphicFramePr>
            <xdr:cNvPr id="9" name="Chart 8"/>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41" name="Chart 40"/>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6"/>
            </a:graphicData>
          </a:graphic>
        </xdr:graphicFrame>
      </xdr:grpSp>
      <mc:AlternateContent xmlns:mc="http://schemas.openxmlformats.org/markup-compatibility/2006">
        <mc:Choice xmlns:a14="http://schemas.microsoft.com/office/drawing/2010/main" Requires="a14">
          <xdr:grpSp>
            <xdr:nvGrpSpPr>
              <xdr:cNvPr id="19" name="Group 18"/>
              <xdr:cNvGrpSpPr/>
            </xdr:nvGrpSpPr>
            <xdr:grpSpPr>
              <a:xfrm>
                <a:off x="1323975" y="3171825"/>
                <a:ext cx="1304925" cy="1409700"/>
                <a:chOff x="1333500" y="6267450"/>
                <a:chExt cx="1304925" cy="1409700"/>
              </a:xfrm>
            </xdr:grpSpPr>
            <xdr:pic>
              <xdr:nvPicPr>
                <xdr:cNvPr id="103" name="Picture 102"/>
                <xdr:cNvPicPr>
                  <a:picLocks noChangeAspect="1" noChangeArrowheads="1"/>
                  <a:extLst>
                    <a:ext uri="{84589F7E-364E-4C9E-8A38-B11213B215E9}">
                      <a14:cameraTool cellRange="$E$77:$E$83" spid="_x0000_s310044"/>
                    </a:ext>
                  </a:extLst>
                </xdr:cNvPicPr>
              </xdr:nvPicPr>
              <xdr:blipFill>
                <a:blip xmlns:r="http://schemas.openxmlformats.org/officeDocument/2006/relationships" r:embed="rId7"/>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04" name="Picture 103"/>
                <xdr:cNvPicPr>
                  <a:picLocks noChangeAspect="1" noChangeArrowheads="1"/>
                  <a:extLst>
                    <a:ext uri="{84589F7E-364E-4C9E-8A38-B11213B215E9}">
                      <a14:cameraTool cellRange="$G$77:$G$83" spid="_x0000_s310045"/>
                    </a:ext>
                  </a:extLst>
                </xdr:cNvPicPr>
              </xdr:nvPicPr>
              <xdr:blipFill>
                <a:blip xmlns:r="http://schemas.openxmlformats.org/officeDocument/2006/relationships" r:embed="rId8"/>
                <a:srcRect/>
                <a:stretch>
                  <a:fillRect/>
                </a:stretch>
              </xdr:blipFill>
              <xdr:spPr bwMode="auto">
                <a:xfrm>
                  <a:off x="2152650" y="6267450"/>
                  <a:ext cx="466725" cy="1409700"/>
                </a:xfrm>
                <a:prstGeom prst="rect">
                  <a:avLst/>
                </a:prstGeom>
                <a:solidFill>
                  <a:srgbClr val="FFFFFF" mc:Ignorable="a14" a14:legacySpreadsheetColorIndex="9"/>
                </a:solidFill>
                <a:ln w="25400">
                  <a:solidFill>
                    <a:schemeClr val="accent1"/>
                  </a:solidFill>
                  <a:miter lim="800000"/>
                  <a:headEnd/>
                  <a:tailEnd/>
                </a:ln>
                <a:effectLst/>
              </xdr:spPr>
            </xdr:pic>
          </xdr:grpSp>
        </mc:Choice>
        <mc:Fallback/>
      </mc:AlternateContent>
    </xdr:grpSp>
    <xdr:clientData/>
  </xdr:twoCellAnchor>
  <xdr:twoCellAnchor>
    <xdr:from>
      <xdr:col>14</xdr:col>
      <xdr:colOff>28575</xdr:colOff>
      <xdr:row>8</xdr:row>
      <xdr:rowOff>142874</xdr:rowOff>
    </xdr:from>
    <xdr:to>
      <xdr:col>24</xdr:col>
      <xdr:colOff>9526</xdr:colOff>
      <xdr:row>21</xdr:row>
      <xdr:rowOff>95250</xdr:rowOff>
    </xdr:to>
    <xdr:grpSp>
      <xdr:nvGrpSpPr>
        <xdr:cNvPr id="116" name="Group 115"/>
        <xdr:cNvGrpSpPr/>
      </xdr:nvGrpSpPr>
      <xdr:grpSpPr>
        <a:xfrm>
          <a:off x="6858000" y="1943099"/>
          <a:ext cx="4838701" cy="2552701"/>
          <a:chOff x="1323975" y="2219324"/>
          <a:chExt cx="4552951" cy="2552701"/>
        </a:xfrm>
      </xdr:grpSpPr>
      <xdr:grpSp>
        <xdr:nvGrpSpPr>
          <xdr:cNvPr id="117" name="Group 116"/>
          <xdr:cNvGrpSpPr/>
        </xdr:nvGrpSpPr>
        <xdr:grpSpPr>
          <a:xfrm>
            <a:off x="2895600" y="2219324"/>
            <a:ext cx="2981326" cy="2552701"/>
            <a:chOff x="2895600" y="2219324"/>
            <a:chExt cx="2981326" cy="2552701"/>
          </a:xfrm>
        </xdr:grpSpPr>
        <xdr:graphicFrame macro="">
          <xdr:nvGraphicFramePr>
            <xdr:cNvPr id="121" name="Chart 120"/>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122" name="Chart 121"/>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10"/>
            </a:graphicData>
          </a:graphic>
        </xdr:graphicFrame>
      </xdr:grpSp>
      <mc:AlternateContent xmlns:mc="http://schemas.openxmlformats.org/markup-compatibility/2006">
        <mc:Choice xmlns:a14="http://schemas.microsoft.com/office/drawing/2010/main" Requires="a14">
          <xdr:grpSp>
            <xdr:nvGrpSpPr>
              <xdr:cNvPr id="118" name="Group 117"/>
              <xdr:cNvGrpSpPr/>
            </xdr:nvGrpSpPr>
            <xdr:grpSpPr>
              <a:xfrm>
                <a:off x="1323975" y="3171825"/>
                <a:ext cx="1304925" cy="1409700"/>
                <a:chOff x="1333500" y="6267450"/>
                <a:chExt cx="1304925" cy="1409700"/>
              </a:xfrm>
            </xdr:grpSpPr>
            <xdr:pic>
              <xdr:nvPicPr>
                <xdr:cNvPr id="119" name="Picture 118"/>
                <xdr:cNvPicPr>
                  <a:picLocks noChangeAspect="1" noChangeArrowheads="1"/>
                  <a:extLst>
                    <a:ext uri="{84589F7E-364E-4C9E-8A38-B11213B215E9}">
                      <a14:cameraTool cellRange="$E$77:$E$83" spid="_x0000_s310046"/>
                    </a:ext>
                  </a:extLst>
                </xdr:cNvPicPr>
              </xdr:nvPicPr>
              <xdr:blipFill>
                <a:blip xmlns:r="http://schemas.openxmlformats.org/officeDocument/2006/relationships" r:embed="rId11"/>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20" name="Picture 119"/>
                <xdr:cNvPicPr>
                  <a:picLocks noChangeAspect="1" noChangeArrowheads="1"/>
                  <a:extLst>
                    <a:ext uri="{84589F7E-364E-4C9E-8A38-B11213B215E9}">
                      <a14:cameraTool cellRange="$I$77:$I$83" spid="_x0000_s310047"/>
                    </a:ext>
                  </a:extLst>
                </xdr:cNvPicPr>
              </xdr:nvPicPr>
              <xdr:blipFill>
                <a:blip xmlns:r="http://schemas.openxmlformats.org/officeDocument/2006/relationships" r:embed="rId12"/>
                <a:srcRect/>
                <a:stretch>
                  <a:fillRect/>
                </a:stretch>
              </xdr:blipFill>
              <xdr:spPr bwMode="auto">
                <a:xfrm>
                  <a:off x="2152650" y="6267450"/>
                  <a:ext cx="466725" cy="1409700"/>
                </a:xfrm>
                <a:prstGeom prst="rect">
                  <a:avLst/>
                </a:prstGeom>
                <a:solidFill>
                  <a:srgbClr val="FFFFFF" mc:Ignorable="a14" a14:legacySpreadsheetColorIndex="9"/>
                </a:solidFill>
                <a:ln w="25400">
                  <a:solidFill>
                    <a:srgbClr val="00B050"/>
                  </a:solidFill>
                  <a:miter lim="800000"/>
                  <a:headEnd/>
                  <a:tailEnd/>
                </a:ln>
                <a:effectLst/>
              </xdr:spPr>
            </xdr:pic>
          </xdr:grpSp>
        </mc:Choice>
        <mc:Fallback/>
      </mc:AlternateContent>
    </xdr:grpSp>
    <xdr:clientData/>
  </xdr:twoCellAnchor>
  <xdr:twoCellAnchor>
    <xdr:from>
      <xdr:col>4</xdr:col>
      <xdr:colOff>28575</xdr:colOff>
      <xdr:row>23</xdr:row>
      <xdr:rowOff>161925</xdr:rowOff>
    </xdr:from>
    <xdr:to>
      <xdr:col>12</xdr:col>
      <xdr:colOff>190501</xdr:colOff>
      <xdr:row>36</xdr:row>
      <xdr:rowOff>114301</xdr:rowOff>
    </xdr:to>
    <xdr:grpSp>
      <xdr:nvGrpSpPr>
        <xdr:cNvPr id="131" name="Group 130"/>
        <xdr:cNvGrpSpPr/>
      </xdr:nvGrpSpPr>
      <xdr:grpSpPr>
        <a:xfrm>
          <a:off x="1323975" y="4962525"/>
          <a:ext cx="4724401" cy="2552701"/>
          <a:chOff x="1323975" y="2219324"/>
          <a:chExt cx="4552951" cy="2552701"/>
        </a:xfrm>
      </xdr:grpSpPr>
      <xdr:grpSp>
        <xdr:nvGrpSpPr>
          <xdr:cNvPr id="132" name="Group 131"/>
          <xdr:cNvGrpSpPr/>
        </xdr:nvGrpSpPr>
        <xdr:grpSpPr>
          <a:xfrm>
            <a:off x="2895600" y="2219324"/>
            <a:ext cx="2981326" cy="2552701"/>
            <a:chOff x="2895600" y="2219324"/>
            <a:chExt cx="2981326" cy="2552701"/>
          </a:xfrm>
        </xdr:grpSpPr>
        <xdr:graphicFrame macro="">
          <xdr:nvGraphicFramePr>
            <xdr:cNvPr id="136" name="Chart 135"/>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37" name="Chart 136"/>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14"/>
            </a:graphicData>
          </a:graphic>
        </xdr:graphicFrame>
      </xdr:grpSp>
      <mc:AlternateContent xmlns:mc="http://schemas.openxmlformats.org/markup-compatibility/2006">
        <mc:Choice xmlns:a14="http://schemas.microsoft.com/office/drawing/2010/main" Requires="a14">
          <xdr:grpSp>
            <xdr:nvGrpSpPr>
              <xdr:cNvPr id="133" name="Group 132"/>
              <xdr:cNvGrpSpPr/>
            </xdr:nvGrpSpPr>
            <xdr:grpSpPr>
              <a:xfrm>
                <a:off x="1323975" y="3171825"/>
                <a:ext cx="1304925" cy="1409700"/>
                <a:chOff x="1333500" y="6267450"/>
                <a:chExt cx="1304925" cy="1409700"/>
              </a:xfrm>
            </xdr:grpSpPr>
            <xdr:pic>
              <xdr:nvPicPr>
                <xdr:cNvPr id="134" name="Picture 133"/>
                <xdr:cNvPicPr>
                  <a:picLocks noChangeAspect="1" noChangeArrowheads="1"/>
                  <a:extLst>
                    <a:ext uri="{84589F7E-364E-4C9E-8A38-B11213B215E9}">
                      <a14:cameraTool cellRange="$E$77:$E$83" spid="_x0000_s310048"/>
                    </a:ext>
                  </a:extLst>
                </xdr:cNvPicPr>
              </xdr:nvPicPr>
              <xdr:blipFill>
                <a:blip xmlns:r="http://schemas.openxmlformats.org/officeDocument/2006/relationships" r:embed="rId15"/>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35" name="Picture 134"/>
                <xdr:cNvPicPr>
                  <a:picLocks noChangeAspect="1" noChangeArrowheads="1"/>
                  <a:extLst>
                    <a:ext uri="{84589F7E-364E-4C9E-8A38-B11213B215E9}">
                      <a14:cameraTool cellRange="$H$77:$H$83" spid="_x0000_s310049"/>
                    </a:ext>
                  </a:extLst>
                </xdr:cNvPicPr>
              </xdr:nvPicPr>
              <xdr:blipFill>
                <a:blip xmlns:r="http://schemas.openxmlformats.org/officeDocument/2006/relationships" r:embed="rId16"/>
                <a:srcRect/>
                <a:stretch>
                  <a:fillRect/>
                </a:stretch>
              </xdr:blipFill>
              <xdr:spPr bwMode="auto">
                <a:xfrm>
                  <a:off x="2152650" y="6267450"/>
                  <a:ext cx="466725" cy="1409700"/>
                </a:xfrm>
                <a:prstGeom prst="rect">
                  <a:avLst/>
                </a:prstGeom>
                <a:solidFill>
                  <a:srgbClr val="FFFFFF" mc:Ignorable="a14" a14:legacySpreadsheetColorIndex="9"/>
                </a:solidFill>
                <a:ln w="25400">
                  <a:solidFill>
                    <a:srgbClr val="FF0000"/>
                  </a:solidFill>
                  <a:miter lim="800000"/>
                  <a:headEnd/>
                  <a:tailEnd/>
                </a:ln>
                <a:effectLst/>
              </xdr:spPr>
            </xdr:pic>
          </xdr:grpSp>
        </mc:Choice>
        <mc:Fallback/>
      </mc:AlternateContent>
    </xdr:grpSp>
    <xdr:clientData/>
  </xdr:twoCellAnchor>
  <xdr:twoCellAnchor>
    <xdr:from>
      <xdr:col>14</xdr:col>
      <xdr:colOff>66674</xdr:colOff>
      <xdr:row>23</xdr:row>
      <xdr:rowOff>114299</xdr:rowOff>
    </xdr:from>
    <xdr:to>
      <xdr:col>24</xdr:col>
      <xdr:colOff>47625</xdr:colOff>
      <xdr:row>36</xdr:row>
      <xdr:rowOff>66675</xdr:rowOff>
    </xdr:to>
    <xdr:grpSp>
      <xdr:nvGrpSpPr>
        <xdr:cNvPr id="138" name="Group 137"/>
        <xdr:cNvGrpSpPr/>
      </xdr:nvGrpSpPr>
      <xdr:grpSpPr>
        <a:xfrm>
          <a:off x="6896099" y="4914899"/>
          <a:ext cx="4838701" cy="2552701"/>
          <a:chOff x="1323975" y="2219324"/>
          <a:chExt cx="4552951" cy="2552701"/>
        </a:xfrm>
      </xdr:grpSpPr>
      <xdr:grpSp>
        <xdr:nvGrpSpPr>
          <xdr:cNvPr id="139" name="Group 138"/>
          <xdr:cNvGrpSpPr/>
        </xdr:nvGrpSpPr>
        <xdr:grpSpPr>
          <a:xfrm>
            <a:off x="2895600" y="2219324"/>
            <a:ext cx="2981326" cy="2552701"/>
            <a:chOff x="2895600" y="2219324"/>
            <a:chExt cx="2981326" cy="2552701"/>
          </a:xfrm>
        </xdr:grpSpPr>
        <xdr:graphicFrame macro="">
          <xdr:nvGraphicFramePr>
            <xdr:cNvPr id="143" name="Chart 142"/>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144" name="Chart 143"/>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18"/>
            </a:graphicData>
          </a:graphic>
        </xdr:graphicFrame>
      </xdr:grpSp>
      <mc:AlternateContent xmlns:mc="http://schemas.openxmlformats.org/markup-compatibility/2006">
        <mc:Choice xmlns:a14="http://schemas.microsoft.com/office/drawing/2010/main" Requires="a14">
          <xdr:grpSp>
            <xdr:nvGrpSpPr>
              <xdr:cNvPr id="140" name="Group 139"/>
              <xdr:cNvGrpSpPr/>
            </xdr:nvGrpSpPr>
            <xdr:grpSpPr>
              <a:xfrm>
                <a:off x="1323975" y="3171825"/>
                <a:ext cx="1304925" cy="1409700"/>
                <a:chOff x="1333500" y="6267450"/>
                <a:chExt cx="1304925" cy="1409700"/>
              </a:xfrm>
            </xdr:grpSpPr>
            <xdr:pic>
              <xdr:nvPicPr>
                <xdr:cNvPr id="141" name="Picture 140"/>
                <xdr:cNvPicPr>
                  <a:picLocks noChangeAspect="1" noChangeArrowheads="1"/>
                  <a:extLst>
                    <a:ext uri="{84589F7E-364E-4C9E-8A38-B11213B215E9}">
                      <a14:cameraTool cellRange="$E$77:$E$83" spid="_x0000_s310050"/>
                    </a:ext>
                  </a:extLst>
                </xdr:cNvPicPr>
              </xdr:nvPicPr>
              <xdr:blipFill>
                <a:blip xmlns:r="http://schemas.openxmlformats.org/officeDocument/2006/relationships" r:embed="rId15"/>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42" name="Picture 141"/>
                <xdr:cNvPicPr>
                  <a:picLocks noChangeAspect="1" noChangeArrowheads="1"/>
                  <a:extLst>
                    <a:ext uri="{84589F7E-364E-4C9E-8A38-B11213B215E9}">
                      <a14:cameraTool cellRange="$J$77:$J$83" spid="_x0000_s310051"/>
                    </a:ext>
                  </a:extLst>
                </xdr:cNvPicPr>
              </xdr:nvPicPr>
              <xdr:blipFill>
                <a:blip xmlns:r="http://schemas.openxmlformats.org/officeDocument/2006/relationships" r:embed="rId19"/>
                <a:srcRect/>
                <a:stretch>
                  <a:fillRect/>
                </a:stretch>
              </xdr:blipFill>
              <xdr:spPr bwMode="auto">
                <a:xfrm>
                  <a:off x="2152650" y="6267450"/>
                  <a:ext cx="466725" cy="1409700"/>
                </a:xfrm>
                <a:prstGeom prst="rect">
                  <a:avLst/>
                </a:prstGeom>
                <a:solidFill>
                  <a:srgbClr val="FFFFFF" mc:Ignorable="a14" a14:legacySpreadsheetColorIndex="9"/>
                </a:solidFill>
                <a:ln w="25400">
                  <a:solidFill>
                    <a:schemeClr val="accent6"/>
                  </a:solidFill>
                  <a:miter lim="800000"/>
                  <a:headEnd/>
                  <a:tailEnd/>
                </a:ln>
                <a:effectLst/>
              </xdr:spPr>
            </xdr:pic>
          </xdr:grpSp>
        </mc:Choice>
        <mc:Fallback/>
      </mc:AlternateContent>
    </xdr:grp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285750</xdr:colOff>
      <xdr:row>4</xdr:row>
      <xdr:rowOff>152400</xdr:rowOff>
    </xdr:from>
    <xdr:to>
      <xdr:col>16</xdr:col>
      <xdr:colOff>138840</xdr:colOff>
      <xdr:row>4</xdr:row>
      <xdr:rowOff>314326</xdr:rowOff>
    </xdr:to>
    <xdr:sp macro="" textlink="">
      <xdr:nvSpPr>
        <xdr:cNvPr id="8" name="Rectangle 7"/>
        <xdr:cNvSpPr/>
      </xdr:nvSpPr>
      <xdr:spPr>
        <a:xfrm>
          <a:off x="5972175" y="1019175"/>
          <a:ext cx="1681890" cy="161926"/>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12</xdr:col>
      <xdr:colOff>285750</xdr:colOff>
      <xdr:row>4</xdr:row>
      <xdr:rowOff>1</xdr:rowOff>
    </xdr:from>
    <xdr:to>
      <xdr:col>16</xdr:col>
      <xdr:colOff>138840</xdr:colOff>
      <xdr:row>4</xdr:row>
      <xdr:rowOff>158328</xdr:rowOff>
    </xdr:to>
    <xdr:sp macro="" textlink="M5">
      <xdr:nvSpPr>
        <xdr:cNvPr id="9" name="Rectangle 8"/>
        <xdr:cNvSpPr/>
      </xdr:nvSpPr>
      <xdr:spPr>
        <a:xfrm>
          <a:off x="5972175" y="866776"/>
          <a:ext cx="1681890" cy="158327"/>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fld id="{E78AF480-5E6A-4795-BF5C-6A90553519FD}" type="TxLink">
            <a:rPr lang="en-US" sz="900" b="1" i="0" u="none" strike="noStrike">
              <a:solidFill>
                <a:schemeClr val="bg1"/>
              </a:solidFill>
              <a:latin typeface="Calibri"/>
            </a:rPr>
            <a:pPr algn="ctr"/>
            <a:t>INDEXATION TO 2013 PRICES</a:t>
          </a:fld>
          <a:endParaRPr lang="en-GB" sz="900" b="1">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10" name="Picture 9"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11" name="TextBox 10"/>
        <xdr:cNvSpPr txBox="1"/>
      </xdr:nvSpPr>
      <xdr:spPr>
        <a:xfrm>
          <a:off x="1699260" y="99060"/>
          <a:ext cx="1952625"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12" name="Rectangle 11"/>
        <xdr:cNvSpPr/>
      </xdr:nvSpPr>
      <xdr:spPr>
        <a:xfrm>
          <a:off x="1356360" y="548640"/>
          <a:ext cx="8490585"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13" name="Picture 12">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578466" y="579121"/>
          <a:ext cx="563880" cy="5868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89441" name="Drop Down 1" hidden="1">
              <a:extLst>
                <a:ext uri="{63B3BB69-23CF-44E3-9099-C40C66FF867C}">
                  <a14:compatExt spid="_x0000_s1894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5" name="Rectangle 14"/>
        <xdr:cNvSpPr/>
      </xdr:nvSpPr>
      <xdr:spPr>
        <a:xfrm>
          <a:off x="3636645" y="91440"/>
          <a:ext cx="6804660"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6" name="Bent Arrow 15"/>
        <xdr:cNvSpPr/>
      </xdr:nvSpPr>
      <xdr:spPr>
        <a:xfrm rot="5400000">
          <a:off x="10563225" y="139065"/>
          <a:ext cx="270510" cy="41529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19050</xdr:colOff>
      <xdr:row>4</xdr:row>
      <xdr:rowOff>0</xdr:rowOff>
    </xdr:from>
    <xdr:to>
      <xdr:col>5</xdr:col>
      <xdr:colOff>339090</xdr:colOff>
      <xdr:row>4</xdr:row>
      <xdr:rowOff>327660</xdr:rowOff>
    </xdr:to>
    <xdr:sp macro="" textlink="">
      <xdr:nvSpPr>
        <xdr:cNvPr id="18" name="Rectangle 17"/>
        <xdr:cNvSpPr/>
      </xdr:nvSpPr>
      <xdr:spPr>
        <a:xfrm>
          <a:off x="131445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333375</xdr:colOff>
          <xdr:row>4</xdr:row>
          <xdr:rowOff>19050</xdr:rowOff>
        </xdr:from>
        <xdr:to>
          <xdr:col>7</xdr:col>
          <xdr:colOff>200025</xdr:colOff>
          <xdr:row>4</xdr:row>
          <xdr:rowOff>295275</xdr:rowOff>
        </xdr:to>
        <xdr:sp macro="" textlink="">
          <xdr:nvSpPr>
            <xdr:cNvPr id="189442" name="Drop Down 2" hidden="1">
              <a:extLst>
                <a:ext uri="{63B3BB69-23CF-44E3-9099-C40C66FF867C}">
                  <a14:compatExt spid="_x0000_s1894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19050</xdr:colOff>
      <xdr:row>8</xdr:row>
      <xdr:rowOff>38100</xdr:rowOff>
    </xdr:from>
    <xdr:to>
      <xdr:col>13</xdr:col>
      <xdr:colOff>409575</xdr:colOff>
      <xdr:row>20</xdr:row>
      <xdr:rowOff>176212</xdr:rowOff>
    </xdr:to>
    <xdr:graphicFrame macro="">
      <xdr:nvGraphicFramePr>
        <xdr:cNvPr id="14" name="CHART.EIMONTHDIS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476250</xdr:colOff>
      <xdr:row>8</xdr:row>
      <xdr:rowOff>38100</xdr:rowOff>
    </xdr:from>
    <xdr:to>
      <xdr:col>23</xdr:col>
      <xdr:colOff>428625</xdr:colOff>
      <xdr:row>20</xdr:row>
      <xdr:rowOff>176212</xdr:rowOff>
    </xdr:to>
    <xdr:graphicFrame macro="">
      <xdr:nvGraphicFramePr>
        <xdr:cNvPr id="31" name="CHART.TNMONTHDI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28575</xdr:colOff>
      <xdr:row>23</xdr:row>
      <xdr:rowOff>47625</xdr:rowOff>
    </xdr:from>
    <xdr:to>
      <xdr:col>23</xdr:col>
      <xdr:colOff>466725</xdr:colOff>
      <xdr:row>35</xdr:row>
      <xdr:rowOff>185737</xdr:rowOff>
    </xdr:to>
    <xdr:graphicFrame macro="">
      <xdr:nvGraphicFramePr>
        <xdr:cNvPr id="32" name="CHART.EMMONTHDI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123825</xdr:colOff>
      <xdr:row>23</xdr:row>
      <xdr:rowOff>66675</xdr:rowOff>
    </xdr:from>
    <xdr:to>
      <xdr:col>14</xdr:col>
      <xdr:colOff>57150</xdr:colOff>
      <xdr:row>36</xdr:row>
      <xdr:rowOff>4762</xdr:rowOff>
    </xdr:to>
    <xdr:graphicFrame macro="">
      <xdr:nvGraphicFramePr>
        <xdr:cNvPr id="33" name="CHART.TDMONTHDI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371475</xdr:colOff>
      <xdr:row>17</xdr:row>
      <xdr:rowOff>57150</xdr:rowOff>
    </xdr:from>
    <xdr:to>
      <xdr:col>12</xdr:col>
      <xdr:colOff>171450</xdr:colOff>
      <xdr:row>19</xdr:row>
      <xdr:rowOff>104775</xdr:rowOff>
    </xdr:to>
    <xdr:sp macro="" textlink="">
      <xdr:nvSpPr>
        <xdr:cNvPr id="2" name="TextBox 1"/>
        <xdr:cNvSpPr txBox="1"/>
      </xdr:nvSpPr>
      <xdr:spPr>
        <a:xfrm>
          <a:off x="1809750" y="3657600"/>
          <a:ext cx="4362450"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twoCellAnchor>
    <xdr:from>
      <xdr:col>4</xdr:col>
      <xdr:colOff>352425</xdr:colOff>
      <xdr:row>32</xdr:row>
      <xdr:rowOff>57150</xdr:rowOff>
    </xdr:from>
    <xdr:to>
      <xdr:col>12</xdr:col>
      <xdr:colOff>219075</xdr:colOff>
      <xdr:row>34</xdr:row>
      <xdr:rowOff>104775</xdr:rowOff>
    </xdr:to>
    <xdr:sp macro="" textlink="">
      <xdr:nvSpPr>
        <xdr:cNvPr id="20" name="TextBox 19"/>
        <xdr:cNvSpPr txBox="1"/>
      </xdr:nvSpPr>
      <xdr:spPr>
        <a:xfrm>
          <a:off x="1647825" y="6457950"/>
          <a:ext cx="4257675"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twoCellAnchor>
    <xdr:from>
      <xdr:col>13</xdr:col>
      <xdr:colOff>438150</xdr:colOff>
      <xdr:row>32</xdr:row>
      <xdr:rowOff>66675</xdr:rowOff>
    </xdr:from>
    <xdr:to>
      <xdr:col>23</xdr:col>
      <xdr:colOff>9525</xdr:colOff>
      <xdr:row>34</xdr:row>
      <xdr:rowOff>114300</xdr:rowOff>
    </xdr:to>
    <xdr:sp macro="" textlink="">
      <xdr:nvSpPr>
        <xdr:cNvPr id="22" name="TextBox 21"/>
        <xdr:cNvSpPr txBox="1"/>
      </xdr:nvSpPr>
      <xdr:spPr>
        <a:xfrm>
          <a:off x="6581775" y="6467475"/>
          <a:ext cx="4143375"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twoCellAnchor>
    <xdr:from>
      <xdr:col>13</xdr:col>
      <xdr:colOff>447675</xdr:colOff>
      <xdr:row>17</xdr:row>
      <xdr:rowOff>66675</xdr:rowOff>
    </xdr:from>
    <xdr:to>
      <xdr:col>23</xdr:col>
      <xdr:colOff>19050</xdr:colOff>
      <xdr:row>19</xdr:row>
      <xdr:rowOff>114300</xdr:rowOff>
    </xdr:to>
    <xdr:sp macro="" textlink="">
      <xdr:nvSpPr>
        <xdr:cNvPr id="24" name="TextBox 23"/>
        <xdr:cNvSpPr txBox="1"/>
      </xdr:nvSpPr>
      <xdr:spPr>
        <a:xfrm>
          <a:off x="6591300" y="3667125"/>
          <a:ext cx="4143375"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304800</xdr:colOff>
      <xdr:row>4</xdr:row>
      <xdr:rowOff>0</xdr:rowOff>
    </xdr:from>
    <xdr:to>
      <xdr:col>16</xdr:col>
      <xdr:colOff>138840</xdr:colOff>
      <xdr:row>4</xdr:row>
      <xdr:rowOff>327600</xdr:rowOff>
    </xdr:to>
    <xdr:sp macro="" textlink="">
      <xdr:nvSpPr>
        <xdr:cNvPr id="22" name="Rectangle 21"/>
        <xdr:cNvSpPr/>
      </xdr:nvSpPr>
      <xdr:spPr>
        <a:xfrm>
          <a:off x="6448425" y="866775"/>
          <a:ext cx="1205640" cy="32760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25" name="Picture 24"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2" name="TextBox 1"/>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28" name="Rectangle 27"/>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3" name="Picture 2">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53340</xdr:colOff>
      <xdr:row>29</xdr:row>
      <xdr:rowOff>83820</xdr:rowOff>
    </xdr:from>
    <xdr:to>
      <xdr:col>23</xdr:col>
      <xdr:colOff>457200</xdr:colOff>
      <xdr:row>37</xdr:row>
      <xdr:rowOff>114300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43815</xdr:colOff>
      <xdr:row>28</xdr:row>
      <xdr:rowOff>39083</xdr:rowOff>
    </xdr:from>
    <xdr:to>
      <xdr:col>24</xdr:col>
      <xdr:colOff>28575</xdr:colOff>
      <xdr:row>28</xdr:row>
      <xdr:rowOff>161956</xdr:rowOff>
    </xdr:to>
    <xdr:sp macro="" textlink="">
      <xdr:nvSpPr>
        <xdr:cNvPr id="17" name="TextBox 16"/>
        <xdr:cNvSpPr txBox="1"/>
      </xdr:nvSpPr>
      <xdr:spPr>
        <a:xfrm>
          <a:off x="8473440" y="5839808"/>
          <a:ext cx="272796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900" b="1" i="0" u="none" strike="noStrike">
              <a:solidFill>
                <a:schemeClr val="tx1">
                  <a:lumMod val="50000"/>
                  <a:lumOff val="50000"/>
                </a:schemeClr>
              </a:solidFill>
              <a:latin typeface="Calibri"/>
            </a:rPr>
            <a:t>Economic Impact </a:t>
          </a:r>
          <a:r>
            <a:rPr lang="en-US" sz="900" b="1" i="0" u="none" strike="noStrike" baseline="0">
              <a:solidFill>
                <a:schemeClr val="tx1">
                  <a:lumMod val="50000"/>
                  <a:lumOff val="50000"/>
                </a:schemeClr>
              </a:solidFill>
              <a:latin typeface="Calibri"/>
            </a:rPr>
            <a:t>by Year and Share of Total</a:t>
          </a:r>
          <a:endParaRPr lang="en-US" sz="900" b="1" i="0" u="none" strike="noStrike">
            <a:solidFill>
              <a:schemeClr val="tx1">
                <a:lumMod val="50000"/>
                <a:lumOff val="50000"/>
              </a:schemeClr>
            </a:solidFill>
            <a:latin typeface="Calibri"/>
          </a:endParaRPr>
        </a:p>
      </xdr:txBody>
    </xdr:sp>
    <xdr:clientData/>
  </xdr:twoCellAnchor>
  <xdr:twoCellAnchor>
    <xdr:from>
      <xdr:col>17</xdr:col>
      <xdr:colOff>281940</xdr:colOff>
      <xdr:row>3</xdr:row>
      <xdr:rowOff>304801</xdr:rowOff>
    </xdr:from>
    <xdr:to>
      <xdr:col>21</xdr:col>
      <xdr:colOff>192180</xdr:colOff>
      <xdr:row>4</xdr:row>
      <xdr:rowOff>329521</xdr:rowOff>
    </xdr:to>
    <xdr:sp macro="" textlink="">
      <xdr:nvSpPr>
        <xdr:cNvPr id="20" name="Rectangle 19"/>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040" name="Drop Down 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042" name="Drop Down 18"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24" name="Rectangle 23"/>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044" name="Drop Down 20"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8" name="Rectangle 17"/>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9" name="Bent Arrow 18"/>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78105</xdr:colOff>
      <xdr:row>28</xdr:row>
      <xdr:rowOff>68579</xdr:rowOff>
    </xdr:from>
    <xdr:to>
      <xdr:col>18</xdr:col>
      <xdr:colOff>384809</xdr:colOff>
      <xdr:row>29</xdr:row>
      <xdr:rowOff>24765</xdr:rowOff>
    </xdr:to>
    <xdr:sp macro="" textlink="$F$16">
      <xdr:nvSpPr>
        <xdr:cNvPr id="21" name="TextBox 20"/>
        <xdr:cNvSpPr txBox="1"/>
      </xdr:nvSpPr>
      <xdr:spPr>
        <a:xfrm>
          <a:off x="8850630" y="58693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43D5B695-DBC5-4614-8745-598FF1BA22CC}" type="TxLink">
            <a:rPr lang="en-US" sz="900" b="1" i="0" u="none" strike="noStrike">
              <a:solidFill>
                <a:schemeClr val="tx1"/>
              </a:solidFill>
              <a:latin typeface="Calibri"/>
            </a:rPr>
            <a:pPr algn="ctr"/>
            <a:t>£M</a:t>
          </a:fld>
          <a:endParaRPr lang="en-US" sz="800" b="1" i="0" u="none" strike="noStrike">
            <a:solidFill>
              <a:schemeClr val="tx1"/>
            </a:solidFill>
            <a:latin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4.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2"/>
  <dimension ref="A1:Y25"/>
  <sheetViews>
    <sheetView showGridLines="0" topLeftCell="G1" workbookViewId="0">
      <selection activeCell="E8" sqref="E8"/>
    </sheetView>
  </sheetViews>
  <sheetFormatPr defaultRowHeight="12.75" x14ac:dyDescent="0.2"/>
  <sheetData>
    <row r="1" spans="1:25" x14ac:dyDescent="0.2">
      <c r="B1">
        <v>1990</v>
      </c>
      <c r="C1">
        <v>1991</v>
      </c>
      <c r="D1">
        <v>1992</v>
      </c>
      <c r="E1">
        <v>1993</v>
      </c>
      <c r="F1">
        <v>1994</v>
      </c>
      <c r="G1">
        <v>1995</v>
      </c>
      <c r="H1">
        <v>1996</v>
      </c>
      <c r="I1">
        <v>1997</v>
      </c>
      <c r="J1">
        <v>1998</v>
      </c>
      <c r="K1">
        <v>1999</v>
      </c>
      <c r="L1">
        <v>2000</v>
      </c>
      <c r="M1">
        <v>2001</v>
      </c>
      <c r="N1">
        <v>2002</v>
      </c>
      <c r="O1">
        <v>2003</v>
      </c>
      <c r="P1">
        <v>2004</v>
      </c>
      <c r="Q1">
        <v>2005</v>
      </c>
      <c r="R1">
        <v>2006</v>
      </c>
      <c r="S1">
        <v>2007</v>
      </c>
      <c r="T1">
        <v>2008</v>
      </c>
      <c r="U1">
        <v>2009</v>
      </c>
      <c r="V1">
        <v>2010</v>
      </c>
      <c r="W1">
        <v>2011</v>
      </c>
      <c r="X1">
        <v>2012</v>
      </c>
      <c r="Y1">
        <v>2013</v>
      </c>
    </row>
    <row r="2" spans="1:25" x14ac:dyDescent="0.2">
      <c r="A2">
        <v>1990</v>
      </c>
      <c r="B2">
        <v>1</v>
      </c>
      <c r="C2">
        <v>1.0900000000000001</v>
      </c>
      <c r="D2">
        <v>1.13469</v>
      </c>
      <c r="E2">
        <v>1.1539797299999999</v>
      </c>
      <c r="F2">
        <v>1.1828292232499997</v>
      </c>
      <c r="G2">
        <v>1.2218625876172498</v>
      </c>
      <c r="H2">
        <v>1.2572966026581498</v>
      </c>
      <c r="I2">
        <v>1.2925009075325782</v>
      </c>
      <c r="J2">
        <v>1.3348949372996466</v>
      </c>
      <c r="K2">
        <v>1.3631947099703989</v>
      </c>
      <c r="L2">
        <v>1.389913326285819</v>
      </c>
      <c r="M2">
        <v>1.4274548852287992</v>
      </c>
      <c r="N2">
        <v>1.4458090684403913</v>
      </c>
      <c r="O2">
        <v>1.4883574022490809</v>
      </c>
      <c r="P2">
        <v>1.5275012019282321</v>
      </c>
      <c r="Q2">
        <v>1.5759229900293568</v>
      </c>
      <c r="R2">
        <v>1.6134299571920554</v>
      </c>
      <c r="S2">
        <v>1.6818393873769986</v>
      </c>
      <c r="T2">
        <v>2.0189302619706155</v>
      </c>
      <c r="U2">
        <v>0</v>
      </c>
      <c r="V2">
        <v>0</v>
      </c>
      <c r="W2">
        <v>0</v>
      </c>
      <c r="X2">
        <v>0</v>
      </c>
      <c r="Y2">
        <v>0</v>
      </c>
    </row>
    <row r="3" spans="1:25" x14ac:dyDescent="0.2">
      <c r="A3">
        <v>1991</v>
      </c>
      <c r="B3">
        <v>0.9174311926605504</v>
      </c>
      <c r="C3">
        <v>1</v>
      </c>
      <c r="D3">
        <v>1.0409999999999999</v>
      </c>
      <c r="E3">
        <v>1.0586969999999998</v>
      </c>
      <c r="F3">
        <v>1.0851644249999997</v>
      </c>
      <c r="G3">
        <v>1.1209748510249997</v>
      </c>
      <c r="H3">
        <v>1.1534831217047246</v>
      </c>
      <c r="I3">
        <v>1.185780649112457</v>
      </c>
      <c r="J3">
        <v>1.2246742544033453</v>
      </c>
      <c r="K3">
        <v>1.2506373485966962</v>
      </c>
      <c r="L3">
        <v>1.2751498406291917</v>
      </c>
      <c r="M3">
        <v>1.3095916378245862</v>
      </c>
      <c r="N3">
        <v>1.3264303380187075</v>
      </c>
      <c r="O3">
        <v>1.3654655066505328</v>
      </c>
      <c r="P3">
        <v>1.4013772494754422</v>
      </c>
      <c r="Q3">
        <v>1.4458009082838135</v>
      </c>
      <c r="R3">
        <v>1.4802109699009682</v>
      </c>
      <c r="S3">
        <v>1.5429719150247692</v>
      </c>
      <c r="T3">
        <v>1.7792791528704894</v>
      </c>
      <c r="U3">
        <v>0</v>
      </c>
      <c r="V3">
        <v>0</v>
      </c>
      <c r="W3">
        <v>0</v>
      </c>
      <c r="X3">
        <v>0</v>
      </c>
      <c r="Y3">
        <v>0</v>
      </c>
    </row>
    <row r="4" spans="1:25" x14ac:dyDescent="0.2">
      <c r="A4">
        <v>1992</v>
      </c>
      <c r="B4">
        <v>0.88129797565854995</v>
      </c>
      <c r="C4">
        <v>0.96061479346781953</v>
      </c>
      <c r="D4">
        <v>1</v>
      </c>
      <c r="E4">
        <v>1.0169999999999999</v>
      </c>
      <c r="F4">
        <v>1.0424249999999997</v>
      </c>
      <c r="G4">
        <v>1.0768250249999998</v>
      </c>
      <c r="H4">
        <v>1.1080529507249997</v>
      </c>
      <c r="I4">
        <v>1.1390784333452997</v>
      </c>
      <c r="J4">
        <v>1.1764402059590253</v>
      </c>
      <c r="K4">
        <v>1.2013807383253567</v>
      </c>
      <c r="L4">
        <v>1.2249278007965338</v>
      </c>
      <c r="M4">
        <v>1.2580131006960482</v>
      </c>
      <c r="N4">
        <v>1.2741886052052906</v>
      </c>
      <c r="O4">
        <v>1.3116863656585331</v>
      </c>
      <c r="P4">
        <v>1.3461837170753528</v>
      </c>
      <c r="Q4">
        <v>1.3888577409066414</v>
      </c>
      <c r="R4">
        <v>1.4219125551402194</v>
      </c>
      <c r="S4">
        <v>1.4822016474781645</v>
      </c>
      <c r="T4">
        <v>1.6806311464663541</v>
      </c>
      <c r="U4">
        <v>0</v>
      </c>
      <c r="V4">
        <v>0</v>
      </c>
      <c r="W4">
        <v>0</v>
      </c>
      <c r="X4">
        <v>0</v>
      </c>
      <c r="Y4">
        <v>0</v>
      </c>
    </row>
    <row r="5" spans="1:25" x14ac:dyDescent="0.2">
      <c r="A5">
        <v>1993</v>
      </c>
      <c r="B5">
        <v>0.86656634774685348</v>
      </c>
      <c r="C5">
        <v>0.94455731904407036</v>
      </c>
      <c r="D5">
        <v>0.98328416912487715</v>
      </c>
      <c r="E5">
        <v>1</v>
      </c>
      <c r="F5">
        <v>1.0249999999999999</v>
      </c>
      <c r="G5">
        <v>1.0588249999999999</v>
      </c>
      <c r="H5">
        <v>1.0895309249999998</v>
      </c>
      <c r="I5">
        <v>1.1200377908999999</v>
      </c>
      <c r="J5">
        <v>1.1567750304415196</v>
      </c>
      <c r="K5">
        <v>1.1812986610868799</v>
      </c>
      <c r="L5">
        <v>1.2044521148441829</v>
      </c>
      <c r="M5">
        <v>1.2369843664661242</v>
      </c>
      <c r="N5">
        <v>1.2528894839776703</v>
      </c>
      <c r="O5">
        <v>1.2897604382089807</v>
      </c>
      <c r="P5">
        <v>1.3236811377338771</v>
      </c>
      <c r="Q5">
        <v>1.3656418298000408</v>
      </c>
      <c r="R5">
        <v>1.3981441053492818</v>
      </c>
      <c r="S5">
        <v>1.4574254154160911</v>
      </c>
      <c r="T5">
        <v>1.612232195569326</v>
      </c>
      <c r="U5">
        <v>0</v>
      </c>
      <c r="V5">
        <v>0</v>
      </c>
      <c r="W5">
        <v>0</v>
      </c>
      <c r="X5">
        <v>0</v>
      </c>
      <c r="Y5">
        <v>0</v>
      </c>
    </row>
    <row r="6" spans="1:25" x14ac:dyDescent="0.2">
      <c r="A6">
        <v>1994</v>
      </c>
      <c r="B6">
        <v>0.84543058316766206</v>
      </c>
      <c r="C6">
        <v>0.92151933565275168</v>
      </c>
      <c r="D6">
        <v>0.95930162841451438</v>
      </c>
      <c r="E6">
        <v>0.97560975609756106</v>
      </c>
      <c r="F6">
        <v>1</v>
      </c>
      <c r="G6">
        <v>1.0329999999999999</v>
      </c>
      <c r="H6">
        <v>1.0629569999999999</v>
      </c>
      <c r="I6">
        <v>1.0927197959999999</v>
      </c>
      <c r="J6">
        <v>1.1285610053087998</v>
      </c>
      <c r="K6">
        <v>1.1524864986213463</v>
      </c>
      <c r="L6">
        <v>1.1750752339943249</v>
      </c>
      <c r="M6">
        <v>1.2068140160645116</v>
      </c>
      <c r="N6">
        <v>1.222331203880654</v>
      </c>
      <c r="O6">
        <v>1.2583028665453471</v>
      </c>
      <c r="P6">
        <v>1.2913962319354899</v>
      </c>
      <c r="Q6">
        <v>1.3323334924878447</v>
      </c>
      <c r="R6">
        <v>1.3640430296090555</v>
      </c>
      <c r="S6">
        <v>1.4218784540644791</v>
      </c>
      <c r="T6">
        <v>1.5226616254521059</v>
      </c>
      <c r="U6">
        <v>0</v>
      </c>
      <c r="V6">
        <v>0</v>
      </c>
      <c r="W6">
        <v>0</v>
      </c>
      <c r="X6">
        <v>0</v>
      </c>
      <c r="Y6">
        <v>0</v>
      </c>
    </row>
    <row r="7" spans="1:25" x14ac:dyDescent="0.2">
      <c r="A7">
        <v>1995</v>
      </c>
      <c r="B7">
        <v>0.81842263617392275</v>
      </c>
      <c r="C7">
        <v>0.89208067342957575</v>
      </c>
      <c r="D7">
        <v>0.92865598104018832</v>
      </c>
      <c r="E7">
        <v>0.94444313271787139</v>
      </c>
      <c r="F7">
        <v>0.96805421103581812</v>
      </c>
      <c r="G7">
        <v>1</v>
      </c>
      <c r="H7">
        <v>1.0289999999999999</v>
      </c>
      <c r="I7">
        <v>1.057812</v>
      </c>
      <c r="J7">
        <v>1.0925082335999998</v>
      </c>
      <c r="K7">
        <v>1.11566940815232</v>
      </c>
      <c r="L7">
        <v>1.1375365285521055</v>
      </c>
      <c r="M7">
        <v>1.1682613901882979</v>
      </c>
      <c r="N7">
        <v>1.1832828691971482</v>
      </c>
      <c r="O7">
        <v>1.2181053887176643</v>
      </c>
      <c r="P7">
        <v>1.2501415604409389</v>
      </c>
      <c r="Q7">
        <v>1.2897710479069167</v>
      </c>
      <c r="R7">
        <v>1.3204675988471013</v>
      </c>
      <c r="S7">
        <v>1.3764554250382179</v>
      </c>
      <c r="T7">
        <v>1.4324771608372737</v>
      </c>
      <c r="U7">
        <v>1.4339096379981111</v>
      </c>
      <c r="V7">
        <v>1.4878519529513767</v>
      </c>
      <c r="W7">
        <v>1.563644319531277</v>
      </c>
      <c r="X7">
        <v>1.6250975897311994</v>
      </c>
      <c r="Y7">
        <v>1.6784007906743827</v>
      </c>
    </row>
    <row r="8" spans="1:25" x14ac:dyDescent="0.2">
      <c r="A8">
        <v>1996</v>
      </c>
      <c r="B8">
        <v>0.79535727519331656</v>
      </c>
      <c r="C8">
        <v>0.86693942996071505</v>
      </c>
      <c r="D8">
        <v>0.90248394658910436</v>
      </c>
      <c r="E8">
        <v>0.91782617368111896</v>
      </c>
      <c r="F8">
        <v>0.94077182802314696</v>
      </c>
      <c r="G8">
        <v>0.97181729834791064</v>
      </c>
      <c r="H8">
        <v>1</v>
      </c>
      <c r="I8">
        <v>1.028</v>
      </c>
      <c r="J8">
        <v>1.0617184</v>
      </c>
      <c r="K8">
        <v>1.08422683008</v>
      </c>
      <c r="L8">
        <v>1.1054776759495681</v>
      </c>
      <c r="M8">
        <v>1.1353366279769659</v>
      </c>
      <c r="N8">
        <v>1.1499347611245367</v>
      </c>
      <c r="O8">
        <v>1.183775887966632</v>
      </c>
      <c r="P8">
        <v>1.2149091938201546</v>
      </c>
      <c r="Q8">
        <v>1.2534218152642533</v>
      </c>
      <c r="R8">
        <v>1.2832532544675426</v>
      </c>
      <c r="S8">
        <v>1.337663192456966</v>
      </c>
      <c r="T8">
        <v>1.3921060843899649</v>
      </c>
      <c r="U8">
        <v>1.3934981904743549</v>
      </c>
      <c r="V8">
        <v>1.4459202652588696</v>
      </c>
      <c r="W8">
        <v>1.5195765981839429</v>
      </c>
      <c r="X8">
        <v>1.5792979492042756</v>
      </c>
      <c r="Y8">
        <v>1.6310989219381757</v>
      </c>
    </row>
    <row r="9" spans="1:25" x14ac:dyDescent="0.2">
      <c r="A9">
        <v>1997</v>
      </c>
      <c r="B9">
        <v>0.77369384746431569</v>
      </c>
      <c r="C9">
        <v>0.84332629373610413</v>
      </c>
      <c r="D9">
        <v>0.87790267177928438</v>
      </c>
      <c r="E9">
        <v>0.89282701719953206</v>
      </c>
      <c r="F9">
        <v>0.91514769262952034</v>
      </c>
      <c r="G9">
        <v>0.94534756648629437</v>
      </c>
      <c r="H9">
        <v>0.97276264591439687</v>
      </c>
      <c r="I9">
        <v>1</v>
      </c>
      <c r="J9">
        <v>1.0327999999999999</v>
      </c>
      <c r="K9">
        <v>1.05469536</v>
      </c>
      <c r="L9">
        <v>1.075367389056</v>
      </c>
      <c r="M9">
        <v>1.1044130622344026</v>
      </c>
      <c r="N9">
        <v>1.1186135808604443</v>
      </c>
      <c r="O9">
        <v>1.1515329649480857</v>
      </c>
      <c r="P9">
        <v>1.1818182819262204</v>
      </c>
      <c r="Q9">
        <v>1.2192819214632815</v>
      </c>
      <c r="R9">
        <v>1.2483008311941075</v>
      </c>
      <c r="S9">
        <v>1.3012287864367373</v>
      </c>
      <c r="T9">
        <v>1.3541887980447129</v>
      </c>
      <c r="U9">
        <v>1.3555429868427575</v>
      </c>
      <c r="V9">
        <v>1.4065372230144646</v>
      </c>
      <c r="W9">
        <v>1.4781873523190106</v>
      </c>
      <c r="X9">
        <v>1.5362820517551319</v>
      </c>
      <c r="Y9">
        <v>1.5866721030527</v>
      </c>
    </row>
    <row r="10" spans="1:25" x14ac:dyDescent="0.2">
      <c r="A10">
        <v>1998</v>
      </c>
      <c r="B10">
        <v>0.74912262535274565</v>
      </c>
      <c r="C10">
        <v>0.81654366163449288</v>
      </c>
      <c r="D10">
        <v>0.85002195176150708</v>
      </c>
      <c r="E10">
        <v>0.86447232494145254</v>
      </c>
      <c r="F10">
        <v>0.88608413306498879</v>
      </c>
      <c r="G10">
        <v>0.91532490945613332</v>
      </c>
      <c r="H10">
        <v>0.94186933183036115</v>
      </c>
      <c r="I10">
        <v>0.96824167312161125</v>
      </c>
      <c r="J10">
        <v>1</v>
      </c>
      <c r="K10">
        <v>1.0212000000000001</v>
      </c>
      <c r="L10">
        <v>1.0412155200000002</v>
      </c>
      <c r="M10">
        <v>1.0693387511952002</v>
      </c>
      <c r="N10">
        <v>1.0830882851088732</v>
      </c>
      <c r="O10">
        <v>1.1149622046360241</v>
      </c>
      <c r="P10">
        <v>1.1442857106179516</v>
      </c>
      <c r="Q10">
        <v>1.1805595676445406</v>
      </c>
      <c r="R10">
        <v>1.2086568853544806</v>
      </c>
      <c r="S10">
        <v>1.2599039372935104</v>
      </c>
      <c r="T10">
        <v>1.3111820275413566</v>
      </c>
      <c r="U10">
        <v>1.3124932095688977</v>
      </c>
      <c r="V10">
        <v>1.3618679541193499</v>
      </c>
      <c r="W10">
        <v>1.4312425951965633</v>
      </c>
      <c r="X10">
        <v>1.4874923041780905</v>
      </c>
      <c r="Y10">
        <v>1.5362820517551319</v>
      </c>
    </row>
    <row r="11" spans="1:25" x14ac:dyDescent="0.2">
      <c r="A11">
        <v>1999</v>
      </c>
      <c r="B11">
        <v>0.73357092181036576</v>
      </c>
      <c r="C11">
        <v>0.7995923047732989</v>
      </c>
      <c r="D11">
        <v>0.83237558926900412</v>
      </c>
      <c r="E11">
        <v>0.84652597428657705</v>
      </c>
      <c r="F11">
        <v>0.8676891236437414</v>
      </c>
      <c r="G11">
        <v>0.8963228647239847</v>
      </c>
      <c r="H11">
        <v>0.92231622780098022</v>
      </c>
      <c r="I11">
        <v>0.94814108217940773</v>
      </c>
      <c r="J11">
        <v>0.97924010967489217</v>
      </c>
      <c r="K11">
        <v>1</v>
      </c>
      <c r="L11">
        <v>1.0196000000000001</v>
      </c>
      <c r="M11">
        <v>1.0471393959999999</v>
      </c>
      <c r="N11">
        <v>1.0606034910976039</v>
      </c>
      <c r="O11">
        <v>1.0918157115511398</v>
      </c>
      <c r="P11">
        <v>1.1205304647649348</v>
      </c>
      <c r="Q11">
        <v>1.1560512804979832</v>
      </c>
      <c r="R11">
        <v>1.1835653009738352</v>
      </c>
      <c r="S11">
        <v>1.2337484697351255</v>
      </c>
      <c r="T11">
        <v>1.2839620324533456</v>
      </c>
      <c r="U11">
        <v>1.2852459944857986</v>
      </c>
      <c r="V11">
        <v>1.3335957247545533</v>
      </c>
      <c r="W11">
        <v>1.40153015589166</v>
      </c>
      <c r="X11">
        <v>1.4566121270839114</v>
      </c>
      <c r="Y11">
        <v>1.5043890048522637</v>
      </c>
    </row>
    <row r="12" spans="1:25" x14ac:dyDescent="0.2">
      <c r="A12">
        <v>2000</v>
      </c>
      <c r="B12">
        <v>0.71946932307803624</v>
      </c>
      <c r="C12">
        <v>0.78422156215505967</v>
      </c>
      <c r="D12">
        <v>0.81637464620341715</v>
      </c>
      <c r="E12">
        <v>0.83025301518887507</v>
      </c>
      <c r="F12">
        <v>0.85100934056859689</v>
      </c>
      <c r="G12">
        <v>0.87909264880736038</v>
      </c>
      <c r="H12">
        <v>0.9045863356227738</v>
      </c>
      <c r="I12">
        <v>0.92991475302021154</v>
      </c>
      <c r="J12">
        <v>0.96041595691927428</v>
      </c>
      <c r="K12">
        <v>0.98077677520596307</v>
      </c>
      <c r="L12">
        <v>1</v>
      </c>
      <c r="M12">
        <v>1.02701</v>
      </c>
      <c r="N12">
        <v>1.0402152717708943</v>
      </c>
      <c r="O12">
        <v>1.0708274926943309</v>
      </c>
      <c r="P12">
        <v>1.0989902557521918</v>
      </c>
      <c r="Q12">
        <v>1.1338282468595362</v>
      </c>
      <c r="R12">
        <v>1.1608133591347931</v>
      </c>
      <c r="S12">
        <v>1.2100318455621082</v>
      </c>
      <c r="T12">
        <v>1.2592801416764865</v>
      </c>
      <c r="U12">
        <v>1.2605394218181625</v>
      </c>
      <c r="V12">
        <v>1.30795971435323</v>
      </c>
      <c r="W12">
        <v>1.374588226649333</v>
      </c>
      <c r="X12">
        <v>1.428611344727257</v>
      </c>
      <c r="Y12">
        <v>1.4754697968343111</v>
      </c>
    </row>
    <row r="13" spans="1:25" x14ac:dyDescent="0.2">
      <c r="A13">
        <v>2001</v>
      </c>
      <c r="B13">
        <v>0.70054753417983884</v>
      </c>
      <c r="C13">
        <v>0.76359681225602449</v>
      </c>
      <c r="D13">
        <v>0.79490428155852155</v>
      </c>
      <c r="E13">
        <v>0.80841765434501622</v>
      </c>
      <c r="F13">
        <v>0.8286280957036416</v>
      </c>
      <c r="G13">
        <v>0.8559728228618616</v>
      </c>
      <c r="H13">
        <v>0.88079603472485546</v>
      </c>
      <c r="I13">
        <v>0.90545832369715151</v>
      </c>
      <c r="J13">
        <v>0.93515735671441791</v>
      </c>
      <c r="K13">
        <v>0.95498269267676372</v>
      </c>
      <c r="L13">
        <v>0.97370035345322836</v>
      </c>
      <c r="M13">
        <v>1</v>
      </c>
      <c r="N13">
        <v>1.0128579777907658</v>
      </c>
      <c r="O13">
        <v>1.0426651081239042</v>
      </c>
      <c r="P13">
        <v>1.070087200467563</v>
      </c>
      <c r="Q13">
        <v>1.1040089647223845</v>
      </c>
      <c r="R13">
        <v>1.1302843780827774</v>
      </c>
      <c r="S13">
        <v>1.178208435713487</v>
      </c>
      <c r="T13">
        <v>1.2261615190470263</v>
      </c>
      <c r="U13">
        <v>1.2273876805660728</v>
      </c>
      <c r="V13">
        <v>1.2735608361683235</v>
      </c>
      <c r="W13">
        <v>1.3384370421411018</v>
      </c>
      <c r="X13">
        <v>1.3910393713082221</v>
      </c>
      <c r="Y13">
        <v>1.4366654626871318</v>
      </c>
    </row>
    <row r="14" spans="1:25" x14ac:dyDescent="0.2">
      <c r="A14">
        <v>2002</v>
      </c>
      <c r="B14">
        <v>0.69165425907772882</v>
      </c>
      <c r="C14">
        <v>0.75390314239472456</v>
      </c>
      <c r="D14">
        <v>0.78481317123290828</v>
      </c>
      <c r="E14">
        <v>0.79815499514386756</v>
      </c>
      <c r="F14">
        <v>0.81810887002246424</v>
      </c>
      <c r="G14">
        <v>0.84510646273320533</v>
      </c>
      <c r="H14">
        <v>0.86961455015246814</v>
      </c>
      <c r="I14">
        <v>0.8939637575567374</v>
      </c>
      <c r="J14">
        <v>0.92328576880459823</v>
      </c>
      <c r="K14">
        <v>0.94285942710325588</v>
      </c>
      <c r="L14">
        <v>0.96133947187447977</v>
      </c>
      <c r="M14">
        <v>0.98730525100980937</v>
      </c>
      <c r="N14">
        <v>1</v>
      </c>
      <c r="O14">
        <v>1.0294287362954413</v>
      </c>
      <c r="P14">
        <v>1.0565027120600115</v>
      </c>
      <c r="Q14">
        <v>1.0899938480323137</v>
      </c>
      <c r="R14">
        <v>1.1159357016154829</v>
      </c>
      <c r="S14">
        <v>1.1632513753639793</v>
      </c>
      <c r="T14">
        <v>1.2105957063412935</v>
      </c>
      <c r="U14">
        <v>1.2118063020476344</v>
      </c>
      <c r="V14">
        <v>1.2573933010294294</v>
      </c>
      <c r="W14">
        <v>1.3214459198519475</v>
      </c>
      <c r="X14">
        <v>1.3733804756539916</v>
      </c>
      <c r="Y14">
        <v>1.4184273552554427</v>
      </c>
    </row>
    <row r="15" spans="1:25" x14ac:dyDescent="0.2">
      <c r="A15">
        <v>2003</v>
      </c>
      <c r="B15">
        <v>0.67188163171620197</v>
      </c>
      <c r="C15">
        <v>0.73235097857066023</v>
      </c>
      <c r="D15">
        <v>0.7623773686920573</v>
      </c>
      <c r="E15">
        <v>0.77533778395982211</v>
      </c>
      <c r="F15">
        <v>0.79472122855881766</v>
      </c>
      <c r="G15">
        <v>0.8209470291012585</v>
      </c>
      <c r="H15">
        <v>0.84475449294519478</v>
      </c>
      <c r="I15">
        <v>0.86840761874766037</v>
      </c>
      <c r="J15">
        <v>0.89689138864258355</v>
      </c>
      <c r="K15">
        <v>0.91590548608180644</v>
      </c>
      <c r="L15">
        <v>0.93385723360900996</v>
      </c>
      <c r="M15">
        <v>0.9590807174887892</v>
      </c>
      <c r="N15">
        <v>0.97141255605381183</v>
      </c>
      <c r="O15">
        <v>1</v>
      </c>
      <c r="P15">
        <v>1.0263</v>
      </c>
      <c r="Q15">
        <v>1.05883371</v>
      </c>
      <c r="R15">
        <v>1.084033952298</v>
      </c>
      <c r="S15">
        <v>1.1299969918754351</v>
      </c>
      <c r="T15">
        <v>1.1759878694447656</v>
      </c>
      <c r="U15">
        <v>1.17716385731421</v>
      </c>
      <c r="V15">
        <v>1.221447640517938</v>
      </c>
      <c r="W15">
        <v>1.2836691586902609</v>
      </c>
      <c r="X15">
        <v>1.3341190382894439</v>
      </c>
      <c r="Y15">
        <v>1.3778781427453377</v>
      </c>
    </row>
    <row r="16" spans="1:25" x14ac:dyDescent="0.2">
      <c r="A16">
        <v>2004</v>
      </c>
      <c r="B16">
        <v>0.65466396932300686</v>
      </c>
      <c r="C16">
        <v>0.71358372656207758</v>
      </c>
      <c r="D16">
        <v>0.74284065935112276</v>
      </c>
      <c r="E16">
        <v>0.75546895056009167</v>
      </c>
      <c r="F16">
        <v>0.77435567432409402</v>
      </c>
      <c r="G16">
        <v>0.79990941157678896</v>
      </c>
      <c r="H16">
        <v>0.82310678451251562</v>
      </c>
      <c r="I16">
        <v>0.84615377447886619</v>
      </c>
      <c r="J16">
        <v>0.87390761828177288</v>
      </c>
      <c r="K16">
        <v>0.89243445978934666</v>
      </c>
      <c r="L16">
        <v>0.90992617520121788</v>
      </c>
      <c r="M16">
        <v>0.93450328119340276</v>
      </c>
      <c r="N16">
        <v>0.94651910362838532</v>
      </c>
      <c r="O16">
        <v>0.97437396472766247</v>
      </c>
      <c r="P16">
        <v>1</v>
      </c>
      <c r="Q16">
        <v>1.0317000000000001</v>
      </c>
      <c r="R16">
        <v>1.0562544600000001</v>
      </c>
      <c r="S16">
        <v>1.101039649104</v>
      </c>
      <c r="T16">
        <v>1.145851962822533</v>
      </c>
      <c r="U16">
        <v>1.1469978147853552</v>
      </c>
      <c r="V16">
        <v>1.1901467801987118</v>
      </c>
      <c r="W16">
        <v>1.2507738075516524</v>
      </c>
      <c r="X16">
        <v>1.2999308567567416</v>
      </c>
      <c r="Y16">
        <v>1.3425685888583627</v>
      </c>
    </row>
    <row r="17" spans="1:25" x14ac:dyDescent="0.2">
      <c r="A17">
        <v>2005</v>
      </c>
      <c r="B17">
        <v>0.63454877321218073</v>
      </c>
      <c r="C17">
        <v>0.69165816280127701</v>
      </c>
      <c r="D17">
        <v>0.72001614747612941</v>
      </c>
      <c r="E17">
        <v>0.73225642198322338</v>
      </c>
      <c r="F17">
        <v>0.75056283253280409</v>
      </c>
      <c r="G17">
        <v>0.7753314060063865</v>
      </c>
      <c r="H17">
        <v>0.79781601678057146</v>
      </c>
      <c r="I17">
        <v>0.82015486525042758</v>
      </c>
      <c r="J17">
        <v>0.84705594483064151</v>
      </c>
      <c r="K17">
        <v>0.86501353086105126</v>
      </c>
      <c r="L17">
        <v>0.8819677960659279</v>
      </c>
      <c r="M17">
        <v>0.90578974623766861</v>
      </c>
      <c r="N17">
        <v>0.91743637067789596</v>
      </c>
      <c r="O17">
        <v>0.9444353636984224</v>
      </c>
      <c r="P17">
        <v>0.96927401376369093</v>
      </c>
      <c r="Q17">
        <v>1</v>
      </c>
      <c r="R17">
        <v>1.0238</v>
      </c>
      <c r="S17">
        <v>1.06720912</v>
      </c>
      <c r="T17">
        <v>1.1106445311840001</v>
      </c>
      <c r="U17">
        <v>1.1117551757151838</v>
      </c>
      <c r="V17">
        <v>1.1535783466111387</v>
      </c>
      <c r="W17">
        <v>1.2123425487560844</v>
      </c>
      <c r="X17">
        <v>1.2599891991438805</v>
      </c>
      <c r="Y17">
        <v>1.3013168448757997</v>
      </c>
    </row>
    <row r="18" spans="1:25" x14ac:dyDescent="0.2">
      <c r="A18">
        <v>2006</v>
      </c>
      <c r="B18">
        <v>0.61979759055692585</v>
      </c>
      <c r="C18">
        <v>0.67557937370704912</v>
      </c>
      <c r="D18">
        <v>0.70327812802903822</v>
      </c>
      <c r="E18">
        <v>0.7152338562055317</v>
      </c>
      <c r="F18">
        <v>0.73311470261067002</v>
      </c>
      <c r="G18">
        <v>0.75730748779682211</v>
      </c>
      <c r="H18">
        <v>0.77926940494292962</v>
      </c>
      <c r="I18">
        <v>0.80108894828133181</v>
      </c>
      <c r="J18">
        <v>0.82736466578495937</v>
      </c>
      <c r="K18">
        <v>0.84490479669960072</v>
      </c>
      <c r="L18">
        <v>0.86146493071491292</v>
      </c>
      <c r="M18">
        <v>0.88473309849352266</v>
      </c>
      <c r="N18">
        <v>0.89610897702470782</v>
      </c>
      <c r="O18">
        <v>0.92248033180154554</v>
      </c>
      <c r="P18">
        <v>0.94674156452792624</v>
      </c>
      <c r="Q18">
        <v>0.97675327212346152</v>
      </c>
      <c r="R18">
        <v>1</v>
      </c>
      <c r="S18">
        <v>1.0424</v>
      </c>
      <c r="T18">
        <v>1.08482568</v>
      </c>
      <c r="U18">
        <v>1.0859105056799998</v>
      </c>
      <c r="V18">
        <v>1.1267614247032025</v>
      </c>
      <c r="W18">
        <v>1.1841595514320027</v>
      </c>
      <c r="X18">
        <v>1.2306985731040052</v>
      </c>
      <c r="Y18">
        <v>1.2710654863018165</v>
      </c>
    </row>
    <row r="19" spans="1:25" x14ac:dyDescent="0.2">
      <c r="A19">
        <v>2007</v>
      </c>
      <c r="B19">
        <v>0.59458709761792572</v>
      </c>
      <c r="C19">
        <v>0.64809993640353902</v>
      </c>
      <c r="D19">
        <v>0.6746720337960842</v>
      </c>
      <c r="E19">
        <v>0.68614145837061746</v>
      </c>
      <c r="F19">
        <v>0.703294994829883</v>
      </c>
      <c r="G19">
        <v>0.72650372965926902</v>
      </c>
      <c r="H19">
        <v>0.74757233781938759</v>
      </c>
      <c r="I19">
        <v>0.7685043632783306</v>
      </c>
      <c r="J19">
        <v>0.79371130639385967</v>
      </c>
      <c r="K19">
        <v>0.81053798608940975</v>
      </c>
      <c r="L19">
        <v>0.82642453061676213</v>
      </c>
      <c r="M19">
        <v>0.84874625718872088</v>
      </c>
      <c r="N19">
        <v>0.85965941771364907</v>
      </c>
      <c r="O19">
        <v>0.8849581080214366</v>
      </c>
      <c r="P19">
        <v>0.90823250626240037</v>
      </c>
      <c r="Q19">
        <v>0.93702347671091857</v>
      </c>
      <c r="R19">
        <v>0.95932463545663849</v>
      </c>
      <c r="S19">
        <v>1</v>
      </c>
      <c r="T19">
        <v>1.0407</v>
      </c>
      <c r="U19">
        <v>1.0417406999999999</v>
      </c>
      <c r="V19">
        <v>1.0809299930000025</v>
      </c>
      <c r="W19">
        <v>1.1359934300000025</v>
      </c>
      <c r="X19">
        <v>1.180639460000005</v>
      </c>
      <c r="Y19">
        <v>1.219364434288005</v>
      </c>
    </row>
    <row r="20" spans="1:25" x14ac:dyDescent="0.2">
      <c r="A20">
        <v>2008</v>
      </c>
      <c r="B20">
        <v>0.57040205066953731</v>
      </c>
      <c r="C20">
        <v>0.62173823522979565</v>
      </c>
      <c r="D20">
        <v>0.64722950287421732</v>
      </c>
      <c r="E20">
        <v>0.65823240442307884</v>
      </c>
      <c r="F20">
        <v>0.67468821453365591</v>
      </c>
      <c r="G20">
        <v>0.69809140930072944</v>
      </c>
      <c r="H20">
        <v>0.71833606017045037</v>
      </c>
      <c r="I20">
        <v>0.73844946985522308</v>
      </c>
      <c r="J20">
        <v>0.76267061246647427</v>
      </c>
      <c r="K20">
        <v>0.77883922945076378</v>
      </c>
      <c r="L20">
        <v>0.79410447834799869</v>
      </c>
      <c r="M20">
        <v>0.81555324030817811</v>
      </c>
      <c r="N20">
        <v>0.82603960575924773</v>
      </c>
      <c r="O20">
        <v>0.85034890748672687</v>
      </c>
      <c r="P20">
        <v>0.87271308375362777</v>
      </c>
      <c r="Q20">
        <v>0.90037808850861789</v>
      </c>
      <c r="R20">
        <v>0.92180708701512304</v>
      </c>
      <c r="S20">
        <v>0.96089170750456432</v>
      </c>
      <c r="T20">
        <v>1</v>
      </c>
      <c r="U20">
        <v>1.0009999999999999</v>
      </c>
      <c r="V20">
        <v>1.038656666666669</v>
      </c>
      <c r="W20">
        <v>1.0915666666666692</v>
      </c>
      <c r="X20">
        <v>1.1344666666666714</v>
      </c>
      <c r="Y20">
        <v>1.1716771733333382</v>
      </c>
    </row>
    <row r="21" spans="1:25" x14ac:dyDescent="0.2">
      <c r="A21">
        <v>2009</v>
      </c>
      <c r="B21">
        <v>0</v>
      </c>
      <c r="C21">
        <v>0</v>
      </c>
      <c r="D21">
        <v>0</v>
      </c>
      <c r="E21">
        <v>0</v>
      </c>
      <c r="F21">
        <v>0</v>
      </c>
      <c r="G21">
        <v>0.69739401528544409</v>
      </c>
      <c r="H21">
        <v>0.7176184417287218</v>
      </c>
      <c r="I21">
        <v>0.73771175809712608</v>
      </c>
      <c r="J21">
        <v>0.76190870376271169</v>
      </c>
      <c r="K21">
        <v>0.7780611682824814</v>
      </c>
      <c r="L21">
        <v>0.79331116718081796</v>
      </c>
      <c r="M21">
        <v>0.81473850180637186</v>
      </c>
      <c r="N21">
        <v>0.82521439136788</v>
      </c>
      <c r="O21">
        <v>0.84949940807864832</v>
      </c>
      <c r="P21">
        <v>0.87184124251111683</v>
      </c>
      <c r="Q21">
        <v>0.89947860989871931</v>
      </c>
      <c r="R21">
        <v>0.92088620081430883</v>
      </c>
      <c r="S21">
        <v>0.96185259921206878</v>
      </c>
      <c r="T21">
        <v>0.99900099900099915</v>
      </c>
      <c r="U21">
        <v>1</v>
      </c>
      <c r="V21">
        <v>1.0376190476190501</v>
      </c>
      <c r="W21">
        <v>1.0904761904761933</v>
      </c>
      <c r="X21">
        <v>1.1333333333333382</v>
      </c>
      <c r="Y21">
        <v>1.1705066666666717</v>
      </c>
    </row>
    <row r="22" spans="1:25" x14ac:dyDescent="0.2">
      <c r="A22">
        <v>2010</v>
      </c>
      <c r="B22">
        <v>0</v>
      </c>
      <c r="C22">
        <v>0</v>
      </c>
      <c r="D22">
        <v>0</v>
      </c>
      <c r="E22">
        <v>0</v>
      </c>
      <c r="F22">
        <v>0</v>
      </c>
      <c r="G22">
        <v>0.67210988164269347</v>
      </c>
      <c r="H22">
        <v>0.6916010682103314</v>
      </c>
      <c r="I22">
        <v>0.71096589812022071</v>
      </c>
      <c r="J22">
        <v>0.73428557957856389</v>
      </c>
      <c r="K22">
        <v>0.74985243386562961</v>
      </c>
      <c r="L22">
        <v>0.76454954156939592</v>
      </c>
      <c r="M22">
        <v>0.78520002468718531</v>
      </c>
      <c r="N22">
        <v>0.79529610916592186</v>
      </c>
      <c r="O22">
        <v>0.8187006686393562</v>
      </c>
      <c r="P22">
        <v>0.8402324962245713</v>
      </c>
      <c r="Q22">
        <v>0.86686786635489033</v>
      </c>
      <c r="R22">
        <v>0.88749932157413669</v>
      </c>
      <c r="S22">
        <v>0.99803657794433476</v>
      </c>
      <c r="T22">
        <v>1.0365824651538964</v>
      </c>
      <c r="U22">
        <v>0.9637448370812276</v>
      </c>
      <c r="V22">
        <v>1</v>
      </c>
      <c r="W22">
        <v>1.0509407985314365</v>
      </c>
      <c r="X22">
        <v>1.0922441486920627</v>
      </c>
      <c r="Y22">
        <v>1.1280697567691622</v>
      </c>
    </row>
    <row r="23" spans="1:25" x14ac:dyDescent="0.2">
      <c r="A23">
        <v>2011</v>
      </c>
      <c r="B23">
        <v>0</v>
      </c>
      <c r="C23">
        <v>0</v>
      </c>
      <c r="D23">
        <v>0</v>
      </c>
      <c r="E23">
        <v>0</v>
      </c>
      <c r="F23">
        <v>0</v>
      </c>
      <c r="G23">
        <v>0.63953162973774191</v>
      </c>
      <c r="H23">
        <v>0.65807804700013628</v>
      </c>
      <c r="I23">
        <v>0.6765042323161401</v>
      </c>
      <c r="J23">
        <v>0.69869357113610941</v>
      </c>
      <c r="K23">
        <v>0.71350587484419514</v>
      </c>
      <c r="L23">
        <v>0.72749058999114136</v>
      </c>
      <c r="M23">
        <v>0.7471401108268021</v>
      </c>
      <c r="N23">
        <v>0.75674682177840336</v>
      </c>
      <c r="O23">
        <v>0.77901692443893322</v>
      </c>
      <c r="P23">
        <v>0.79950506955167722</v>
      </c>
      <c r="Q23">
        <v>0.82484938025646548</v>
      </c>
      <c r="R23">
        <v>0.84448079550656929</v>
      </c>
      <c r="S23">
        <v>1.0488773581884014</v>
      </c>
      <c r="T23">
        <v>1.0893868036725207</v>
      </c>
      <c r="U23">
        <v>1.0128387686626945</v>
      </c>
      <c r="V23">
        <v>0.95152838427947595</v>
      </c>
      <c r="W23">
        <v>1</v>
      </c>
      <c r="X23">
        <v>1.0393013100436701</v>
      </c>
      <c r="Y23">
        <v>1.0733903930131024</v>
      </c>
    </row>
    <row r="24" spans="1:25" x14ac:dyDescent="0.2">
      <c r="A24">
        <v>2012</v>
      </c>
      <c r="B24">
        <v>0</v>
      </c>
      <c r="C24">
        <v>0</v>
      </c>
      <c r="D24">
        <v>0</v>
      </c>
      <c r="E24">
        <v>0</v>
      </c>
      <c r="F24">
        <v>0</v>
      </c>
      <c r="G24">
        <v>0.61534766054597734</v>
      </c>
      <c r="H24">
        <v>0.63319274270181058</v>
      </c>
      <c r="I24">
        <v>0.65092213949746125</v>
      </c>
      <c r="J24">
        <v>0.67227238567297798</v>
      </c>
      <c r="K24">
        <v>0.68652456024924524</v>
      </c>
      <c r="L24">
        <v>0.6999804416301304</v>
      </c>
      <c r="M24">
        <v>0.71888691335856025</v>
      </c>
      <c r="N24">
        <v>0.72813034532459675</v>
      </c>
      <c r="O24">
        <v>0.74955830124586287</v>
      </c>
      <c r="P24">
        <v>0.76927168456862915</v>
      </c>
      <c r="Q24">
        <v>0.7936575969694547</v>
      </c>
      <c r="R24">
        <v>0.81254664777732766</v>
      </c>
      <c r="S24">
        <v>1.0092139286770734</v>
      </c>
      <c r="T24">
        <v>1.048191504373978</v>
      </c>
      <c r="U24">
        <v>0.97453814295696051</v>
      </c>
      <c r="V24">
        <v>0.91554621848739315</v>
      </c>
      <c r="W24">
        <v>0.96218487394957797</v>
      </c>
      <c r="X24">
        <v>1</v>
      </c>
      <c r="Y24">
        <v>1.0327999999999999</v>
      </c>
    </row>
    <row r="25" spans="1:25" x14ac:dyDescent="0.2">
      <c r="A25">
        <v>2013</v>
      </c>
      <c r="B25">
        <v>0</v>
      </c>
      <c r="C25">
        <v>0</v>
      </c>
      <c r="D25">
        <v>0</v>
      </c>
      <c r="E25">
        <v>0</v>
      </c>
      <c r="F25">
        <v>0</v>
      </c>
      <c r="G25">
        <v>0.59580524839850635</v>
      </c>
      <c r="H25">
        <v>0.61308360060206302</v>
      </c>
      <c r="I25">
        <v>0.63024994141892077</v>
      </c>
      <c r="J25">
        <v>0.65092213949746136</v>
      </c>
      <c r="K25">
        <v>0.66472168885480765</v>
      </c>
      <c r="L25">
        <v>0.6777502339563618</v>
      </c>
      <c r="M25">
        <v>0.69605626777552321</v>
      </c>
      <c r="N25">
        <v>0.7050061438077041</v>
      </c>
      <c r="O25">
        <v>0.72575358370048693</v>
      </c>
      <c r="P25">
        <v>0.74484090295180982</v>
      </c>
      <c r="Q25">
        <v>0.76845235957538227</v>
      </c>
      <c r="R25">
        <v>0.78674152573327627</v>
      </c>
      <c r="S25">
        <v>0.97716298283992398</v>
      </c>
      <c r="T25">
        <v>1.0149026959469192</v>
      </c>
      <c r="U25">
        <v>0.94358844205747539</v>
      </c>
      <c r="V25">
        <v>0.88647000240839779</v>
      </c>
      <c r="W25">
        <v>0.93162749220524599</v>
      </c>
      <c r="X25">
        <v>0.96824167312161125</v>
      </c>
      <c r="Y25">
        <v>1</v>
      </c>
    </row>
  </sheetData>
  <sheetProtection algorithmName="SHA-512" hashValue="uevYNbpPO6sm1RSSJgQ/jQpsJEQslOPkvVsk0wmECXolizzUqHx2NGR8MWh3pYiaHRh0CF9kyDHuF9OE3TdoUg==" saltValue="+0DmaXW3xGKbM3aYkPeB4w=="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9">
    <tabColor theme="7" tint="-0.499984740745262"/>
    <outlinePr showOutlineSymbols="0"/>
    <pageSetUpPr autoPageBreaks="0" fitToPage="1"/>
  </sheetPr>
  <dimension ref="A1:AB71"/>
  <sheetViews>
    <sheetView showGridLines="0" showRowColHeaders="0" showZeros="0"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1" width="7" style="118" bestFit="1" customWidth="1"/>
    <col min="2"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27" width="5.7109375" style="118" customWidth="1"/>
    <col min="28" max="28" width="7.7109375" style="118" customWidth="1"/>
    <col min="29" max="16384" width="4.85546875" style="118"/>
  </cols>
  <sheetData>
    <row r="1" spans="1:28" ht="16.149999999999999" hidden="1" customHeight="1" thickTop="1" thickBot="1" x14ac:dyDescent="0.25">
      <c r="A1" s="117" t="str">
        <f ca="1">MID(CELL("filename",A1),FIND("]",CELL("filename",A1))+1,255)</f>
        <v>MONTHLY DISTRIBUTION</v>
      </c>
      <c r="E1" s="120"/>
      <c r="F1" s="121"/>
      <c r="G1" s="121"/>
      <c r="H1" s="121"/>
      <c r="I1" s="121"/>
      <c r="J1" s="121"/>
      <c r="K1" s="121"/>
      <c r="L1" s="121"/>
      <c r="M1" s="121"/>
      <c r="N1" s="121"/>
      <c r="O1" s="121"/>
      <c r="P1" s="121"/>
      <c r="Q1" s="121"/>
      <c r="R1" s="121"/>
      <c r="S1" s="121"/>
      <c r="T1" s="121"/>
      <c r="U1" s="121"/>
      <c r="V1" s="121"/>
      <c r="W1" s="121"/>
      <c r="X1" s="122"/>
    </row>
    <row r="2" spans="1:28" ht="16.149999999999999" customHeight="1" thickTop="1" x14ac:dyDescent="0.2">
      <c r="A2" s="625">
        <f>IF(($A$3/1000000)&gt;1,1000000,IF(($A$3/1000)&gt;1,1000,1))</f>
        <v>1000</v>
      </c>
      <c r="B2" s="625">
        <f>IF((B3/1000000)&gt;1,1000000,IF((B3/1000)&gt;1,1000,1))</f>
        <v>1</v>
      </c>
      <c r="C2" s="625">
        <f>IF((C3/1000000)&gt;1,1000000,IF((C3/1000)&gt;1,1000,1))</f>
        <v>1</v>
      </c>
      <c r="D2" s="626"/>
      <c r="E2" s="123"/>
      <c r="F2" s="124"/>
      <c r="G2" s="124"/>
      <c r="H2" s="124"/>
      <c r="I2" s="124"/>
      <c r="J2" s="124"/>
      <c r="K2" s="124"/>
      <c r="L2" s="124"/>
      <c r="M2" s="124"/>
      <c r="N2" s="124"/>
      <c r="O2" s="124"/>
      <c r="P2" s="124"/>
      <c r="Q2" s="124"/>
      <c r="R2" s="124"/>
      <c r="S2" s="124"/>
      <c r="T2" s="124"/>
      <c r="U2" s="124"/>
      <c r="V2" s="124"/>
      <c r="W2" s="124"/>
      <c r="X2" s="125"/>
    </row>
    <row r="3" spans="1:28" ht="26.45" customHeight="1" x14ac:dyDescent="0.2">
      <c r="A3" s="627">
        <f>MIN($F44:$Q44)+MIN($F45:$Q45)+MIN($F46:$Q46)+MIN($F47:$Q47)</f>
        <v>2854.3898296307943</v>
      </c>
      <c r="B3" s="627">
        <f>MIN($F48:$Q48)+MIN($F49:$Q49)+MIN($F50:$Q50)+MIN($F51:$Q51)</f>
        <v>23.588618702014969</v>
      </c>
      <c r="C3" s="627">
        <f>MIN($F52:$Q52)+MIN($F53:$Q53)+MIN($F54:$Q54)+MIN($F55:$Q55)</f>
        <v>48.60235152920248</v>
      </c>
      <c r="D3" s="626"/>
      <c r="E3" s="126"/>
      <c r="F3" s="127"/>
      <c r="G3" s="127"/>
      <c r="H3" s="127"/>
      <c r="I3" s="127"/>
      <c r="J3" s="127"/>
      <c r="K3" s="127"/>
      <c r="L3" s="127"/>
      <c r="M3" s="127"/>
      <c r="N3" s="127"/>
      <c r="O3" s="127"/>
      <c r="P3" s="127"/>
      <c r="Q3" s="127"/>
      <c r="R3" s="127"/>
      <c r="S3" s="127"/>
      <c r="T3" s="127"/>
      <c r="U3" s="127"/>
      <c r="V3" s="127"/>
      <c r="W3" s="127"/>
      <c r="X3" s="128"/>
    </row>
    <row r="4" spans="1:28" ht="26.45" customHeight="1" x14ac:dyDescent="0.2">
      <c r="A4" s="628" t="str">
        <f>IF(A$2=1,"£000s",IF(A$2=1000,"£M","£Bn"))</f>
        <v>£M</v>
      </c>
      <c r="B4" s="628" t="str">
        <f>IF(B$2=1,"000s",IF(B$2=1000,"M","Bn"))</f>
        <v>000s</v>
      </c>
      <c r="C4" s="628" t="str">
        <f>IF(C$2=1,"000s",IF(C$2=1000,"M","Bn"))</f>
        <v>000s</v>
      </c>
      <c r="D4" s="626"/>
      <c r="E4" s="211"/>
      <c r="F4" s="212"/>
      <c r="G4" s="212"/>
      <c r="H4" s="212"/>
      <c r="I4" s="212"/>
      <c r="J4" s="212"/>
      <c r="K4" s="212"/>
      <c r="L4" s="212"/>
      <c r="M4" s="212"/>
      <c r="N4" s="212"/>
      <c r="O4" s="212"/>
      <c r="P4" s="212"/>
      <c r="Q4" s="212"/>
      <c r="R4" s="212"/>
      <c r="S4" s="212"/>
      <c r="T4" s="212"/>
      <c r="U4" s="212"/>
      <c r="V4" s="212"/>
      <c r="W4" s="212"/>
      <c r="X4" s="213"/>
    </row>
    <row r="5" spans="1:28" ht="26.45" customHeight="1" thickBot="1" x14ac:dyDescent="0.25">
      <c r="A5" s="628"/>
      <c r="B5" s="628"/>
      <c r="C5" s="628"/>
      <c r="D5" s="626"/>
      <c r="E5" s="214"/>
      <c r="F5" s="215"/>
      <c r="G5" s="215"/>
      <c r="H5" s="215"/>
      <c r="I5" s="215"/>
      <c r="J5" s="215"/>
      <c r="K5" s="215"/>
      <c r="L5" s="215"/>
      <c r="M5" s="413" t="str">
        <f>"INDEXATION TO "&amp;MAX(REP.yearsrange)&amp;" PRICES"</f>
        <v>INDEXATION TO 2013 PRICES</v>
      </c>
      <c r="N5" s="215"/>
      <c r="O5" s="215"/>
      <c r="P5" s="215"/>
      <c r="Q5" s="215"/>
      <c r="R5" s="215"/>
      <c r="S5" s="215"/>
      <c r="T5" s="215"/>
      <c r="U5" s="215"/>
      <c r="V5" s="215"/>
      <c r="W5" s="215"/>
      <c r="X5" s="216"/>
    </row>
    <row r="6" spans="1:28" ht="16.149999999999999" customHeight="1" thickTop="1" x14ac:dyDescent="0.2">
      <c r="A6" s="624"/>
      <c r="E6" s="414" t="str">
        <f>REP.title1</f>
        <v>STEAM FINAL TREND REPORT FOR 2009-2013</v>
      </c>
      <c r="F6" s="415"/>
      <c r="G6" s="415"/>
      <c r="H6" s="415"/>
      <c r="I6" s="415"/>
      <c r="J6" s="415"/>
      <c r="K6" s="415"/>
      <c r="L6" s="415"/>
      <c r="M6" s="415"/>
      <c r="N6" s="415"/>
      <c r="O6" s="879">
        <f>CHARTYEAR</f>
        <v>2013</v>
      </c>
      <c r="P6" s="880"/>
      <c r="Q6" s="880"/>
      <c r="R6" s="881"/>
      <c r="S6" s="904" t="str">
        <f>UPPER(TOTAL)</f>
        <v>TOTAL</v>
      </c>
      <c r="T6" s="905"/>
      <c r="U6" s="914" t="str">
        <f>IF(REP.indexed="YES","DISTRIBUTION BY MONTH"&amp;CHAR(10)&amp;"Indexed","DISTRIBUTION BY MONTH"&amp;CHAR(10)&amp;"Historic Prices")</f>
        <v>DISTRIBUTION BY MONTH
Historic Prices</v>
      </c>
      <c r="V6" s="915"/>
      <c r="W6" s="915"/>
      <c r="X6" s="916"/>
    </row>
    <row r="7" spans="1:28" ht="16.149999999999999" customHeight="1" thickBot="1" x14ac:dyDescent="0.25">
      <c r="E7" s="416" t="str">
        <f>REP.title2</f>
        <v>MORAY HIE</v>
      </c>
      <c r="F7" s="417"/>
      <c r="G7" s="417"/>
      <c r="H7" s="417"/>
      <c r="I7" s="418"/>
      <c r="J7" s="418"/>
      <c r="K7" s="418"/>
      <c r="L7" s="418"/>
      <c r="M7" s="418"/>
      <c r="N7" s="418"/>
      <c r="O7" s="882" t="str">
        <f>IF(REP.indexed="YES",MAX(REP.yearsrange)&amp;" Prices","Historic Prices")</f>
        <v>Historic Prices</v>
      </c>
      <c r="P7" s="883"/>
      <c r="Q7" s="883"/>
      <c r="R7" s="884"/>
      <c r="S7" s="906"/>
      <c r="T7" s="907"/>
      <c r="U7" s="917"/>
      <c r="V7" s="918"/>
      <c r="W7" s="918"/>
      <c r="X7" s="919"/>
    </row>
    <row r="8" spans="1:28" ht="16.149999999999999" customHeight="1" thickTop="1" thickBot="1" x14ac:dyDescent="0.25">
      <c r="E8" s="803" t="str">
        <f>IF(REP.indexed="YES","ECONOMIC IMPACT - "&amp;CHARTYEAR&amp;" Indexed - "&amp;$A$4,"Economic Impact - Historic Prices - "&amp;$A$4)&amp;" - Distribution of Impact by Month"</f>
        <v>Economic Impact - Historic Prices - £M - Distribution of Impact by Month</v>
      </c>
      <c r="F8" s="804"/>
      <c r="G8" s="804"/>
      <c r="H8" s="804"/>
      <c r="I8" s="804"/>
      <c r="J8" s="804"/>
      <c r="K8" s="804"/>
      <c r="L8" s="804"/>
      <c r="M8" s="804"/>
      <c r="N8" s="804"/>
      <c r="O8" s="866" t="str">
        <f ca="1">PROPER('VISITOR NUMBERS'!$U$6)&amp;" - "&amp;CHARTYEAR&amp;" - "&amp;$B$4&amp;" - Distribution of Impact by Month"</f>
        <v>Visitor Numbers - 2013 - 000s - Distribution of Impact by Month</v>
      </c>
      <c r="P8" s="867"/>
      <c r="Q8" s="867"/>
      <c r="R8" s="867"/>
      <c r="S8" s="867"/>
      <c r="T8" s="867"/>
      <c r="U8" s="867"/>
      <c r="V8" s="867"/>
      <c r="W8" s="867"/>
      <c r="X8" s="868"/>
    </row>
    <row r="9" spans="1:28" s="132" customFormat="1" ht="16.149999999999999" customHeight="1" thickTop="1" x14ac:dyDescent="0.2">
      <c r="E9" s="432"/>
      <c r="F9" s="430"/>
      <c r="G9" s="430"/>
      <c r="H9" s="430"/>
      <c r="I9" s="430"/>
      <c r="J9" s="430"/>
      <c r="K9" s="430"/>
      <c r="L9" s="430"/>
      <c r="M9" s="430"/>
      <c r="N9" s="430"/>
      <c r="O9" s="430"/>
      <c r="P9" s="430"/>
      <c r="Q9" s="430"/>
      <c r="R9" s="430"/>
      <c r="S9" s="430"/>
      <c r="T9" s="430"/>
      <c r="U9" s="430"/>
      <c r="V9" s="430"/>
      <c r="W9" s="430"/>
      <c r="X9" s="431"/>
    </row>
    <row r="10" spans="1:28" s="132" customFormat="1" ht="16.149999999999999" customHeight="1" x14ac:dyDescent="0.2">
      <c r="E10" s="149"/>
      <c r="F10" s="150"/>
      <c r="G10" s="150"/>
      <c r="H10" s="150"/>
      <c r="I10" s="150"/>
      <c r="J10" s="150"/>
      <c r="K10" s="150"/>
      <c r="L10" s="150"/>
      <c r="M10" s="150"/>
      <c r="N10" s="150"/>
      <c r="O10" s="150"/>
      <c r="P10" s="150"/>
      <c r="Q10" s="150"/>
      <c r="R10" s="150"/>
      <c r="S10" s="150"/>
      <c r="T10" s="150"/>
      <c r="U10" s="150"/>
      <c r="V10" s="150"/>
      <c r="W10" s="150"/>
      <c r="X10" s="433"/>
      <c r="Z10" s="492"/>
      <c r="AA10" s="491"/>
      <c r="AB10" s="490"/>
    </row>
    <row r="11" spans="1:28" s="132" customFormat="1" ht="16.149999999999999" customHeight="1" x14ac:dyDescent="0.2">
      <c r="E11" s="149"/>
      <c r="F11" s="150"/>
      <c r="G11" s="150"/>
      <c r="H11" s="150"/>
      <c r="I11" s="150"/>
      <c r="J11" s="150"/>
      <c r="K11" s="150"/>
      <c r="L11" s="150"/>
      <c r="M11" s="150"/>
      <c r="N11" s="150"/>
      <c r="O11" s="150"/>
      <c r="P11" s="150"/>
      <c r="Q11" s="150"/>
      <c r="R11" s="150"/>
      <c r="S11" s="150"/>
      <c r="T11" s="150"/>
      <c r="U11" s="150"/>
      <c r="V11" s="150"/>
      <c r="W11" s="150"/>
      <c r="X11" s="433"/>
      <c r="Z11" s="492"/>
      <c r="AA11" s="491"/>
      <c r="AB11" s="490"/>
    </row>
    <row r="12" spans="1:28" ht="16.149999999999999" customHeight="1" x14ac:dyDescent="0.2">
      <c r="E12" s="616"/>
      <c r="F12" s="420"/>
      <c r="G12" s="420"/>
      <c r="H12" s="420"/>
      <c r="I12" s="420"/>
      <c r="J12" s="420"/>
      <c r="K12" s="420"/>
      <c r="L12" s="420"/>
      <c r="M12" s="420"/>
      <c r="N12" s="420"/>
      <c r="O12" s="420"/>
      <c r="P12" s="420"/>
      <c r="Q12" s="420"/>
      <c r="R12" s="420"/>
      <c r="S12" s="420"/>
      <c r="T12" s="420"/>
      <c r="U12" s="420"/>
      <c r="V12" s="420"/>
      <c r="W12" s="420"/>
      <c r="X12" s="421"/>
      <c r="Z12" s="492"/>
      <c r="AA12" s="491"/>
      <c r="AB12" s="490"/>
    </row>
    <row r="13" spans="1:28" ht="16.149999999999999" customHeight="1" x14ac:dyDescent="0.2">
      <c r="E13" s="617"/>
      <c r="F13" s="436"/>
      <c r="G13" s="436"/>
      <c r="H13" s="436"/>
      <c r="I13" s="436"/>
      <c r="J13" s="436"/>
      <c r="K13" s="436"/>
      <c r="L13" s="436"/>
      <c r="M13" s="436"/>
      <c r="N13" s="436"/>
      <c r="O13" s="436"/>
      <c r="P13" s="436"/>
      <c r="Q13" s="436"/>
      <c r="R13" s="436"/>
      <c r="S13" s="436"/>
      <c r="T13" s="436"/>
      <c r="U13" s="436"/>
      <c r="V13" s="436"/>
      <c r="W13" s="436"/>
      <c r="X13" s="437"/>
      <c r="Z13" s="492"/>
      <c r="AA13" s="491"/>
      <c r="AB13" s="490"/>
    </row>
    <row r="14" spans="1:28" ht="16.149999999999999" customHeight="1" x14ac:dyDescent="0.2">
      <c r="E14" s="617"/>
      <c r="F14" s="436"/>
      <c r="G14" s="436"/>
      <c r="H14" s="436"/>
      <c r="I14" s="436"/>
      <c r="J14" s="436"/>
      <c r="K14" s="436"/>
      <c r="L14" s="436"/>
      <c r="M14" s="436"/>
      <c r="N14" s="436"/>
      <c r="O14" s="436"/>
      <c r="P14" s="436"/>
      <c r="Q14" s="436"/>
      <c r="R14" s="436"/>
      <c r="S14" s="436"/>
      <c r="T14" s="436"/>
      <c r="U14" s="436"/>
      <c r="V14" s="436"/>
      <c r="W14" s="436"/>
      <c r="X14" s="437"/>
      <c r="Z14" s="492"/>
      <c r="AA14" s="491"/>
      <c r="AB14" s="490"/>
    </row>
    <row r="15" spans="1:28" ht="16.149999999999999" customHeight="1" x14ac:dyDescent="0.2">
      <c r="E15" s="617"/>
      <c r="F15" s="436"/>
      <c r="G15" s="436"/>
      <c r="H15" s="436"/>
      <c r="I15" s="436"/>
      <c r="J15" s="436"/>
      <c r="K15" s="436"/>
      <c r="L15" s="436"/>
      <c r="M15" s="436"/>
      <c r="N15" s="436"/>
      <c r="O15" s="436"/>
      <c r="P15" s="436"/>
      <c r="Q15" s="436"/>
      <c r="R15" s="436"/>
      <c r="S15" s="436"/>
      <c r="T15" s="436"/>
      <c r="U15" s="436"/>
      <c r="V15" s="436"/>
      <c r="W15" s="436"/>
      <c r="X15" s="437"/>
      <c r="Z15" s="492"/>
      <c r="AA15" s="491"/>
      <c r="AB15" s="490"/>
    </row>
    <row r="16" spans="1:28" ht="16.149999999999999" customHeight="1" x14ac:dyDescent="0.2">
      <c r="E16" s="618"/>
      <c r="F16" s="424"/>
      <c r="G16" s="424"/>
      <c r="H16" s="424"/>
      <c r="I16" s="424"/>
      <c r="J16" s="424"/>
      <c r="K16" s="424"/>
      <c r="L16" s="424"/>
      <c r="M16" s="424"/>
      <c r="N16" s="424"/>
      <c r="O16" s="424"/>
      <c r="P16" s="424"/>
      <c r="Q16" s="424"/>
      <c r="R16" s="424"/>
      <c r="S16" s="424"/>
      <c r="T16" s="424"/>
      <c r="U16" s="424"/>
      <c r="V16" s="424"/>
      <c r="W16" s="424"/>
      <c r="X16" s="426"/>
      <c r="Y16" s="277"/>
      <c r="Z16" s="492"/>
      <c r="AA16" s="491"/>
      <c r="AB16" s="490"/>
    </row>
    <row r="17" spans="4:28" ht="16.149999999999999" customHeight="1" x14ac:dyDescent="0.2">
      <c r="E17" s="618"/>
      <c r="F17" s="424"/>
      <c r="G17" s="424"/>
      <c r="H17" s="424"/>
      <c r="I17" s="424"/>
      <c r="J17" s="424"/>
      <c r="K17" s="424"/>
      <c r="L17" s="424"/>
      <c r="M17" s="424"/>
      <c r="N17" s="424"/>
      <c r="O17" s="424"/>
      <c r="P17" s="424"/>
      <c r="Q17" s="424"/>
      <c r="R17" s="424"/>
      <c r="S17" s="424"/>
      <c r="T17" s="424"/>
      <c r="U17" s="424"/>
      <c r="V17" s="424"/>
      <c r="W17" s="424"/>
      <c r="X17" s="426"/>
      <c r="Z17" s="492"/>
      <c r="AA17" s="491"/>
      <c r="AB17" s="490"/>
    </row>
    <row r="18" spans="4:28" ht="16.149999999999999" customHeight="1" x14ac:dyDescent="0.2">
      <c r="E18" s="618"/>
      <c r="F18" s="424"/>
      <c r="G18" s="424"/>
      <c r="H18" s="424"/>
      <c r="I18" s="424"/>
      <c r="J18" s="424"/>
      <c r="K18" s="424"/>
      <c r="L18" s="424"/>
      <c r="M18" s="424"/>
      <c r="N18" s="424"/>
      <c r="O18" s="424"/>
      <c r="P18" s="424"/>
      <c r="Q18" s="424"/>
      <c r="R18" s="424"/>
      <c r="S18" s="424"/>
      <c r="T18" s="424"/>
      <c r="U18" s="424"/>
      <c r="V18" s="424"/>
      <c r="W18" s="424"/>
      <c r="X18" s="426"/>
      <c r="Z18" s="492"/>
      <c r="AA18" s="491"/>
      <c r="AB18" s="490"/>
    </row>
    <row r="19" spans="4:28" ht="16.149999999999999" customHeight="1" x14ac:dyDescent="0.2">
      <c r="E19" s="618"/>
      <c r="F19" s="424"/>
      <c r="G19" s="424"/>
      <c r="H19" s="424"/>
      <c r="I19" s="424"/>
      <c r="J19" s="424"/>
      <c r="K19" s="424"/>
      <c r="L19" s="424"/>
      <c r="M19" s="424"/>
      <c r="N19" s="424"/>
      <c r="O19" s="424"/>
      <c r="P19" s="424"/>
      <c r="Q19" s="424"/>
      <c r="R19" s="424"/>
      <c r="S19" s="424"/>
      <c r="T19" s="424"/>
      <c r="U19" s="424"/>
      <c r="V19" s="424"/>
      <c r="W19" s="424"/>
      <c r="X19" s="426"/>
      <c r="Z19" s="492"/>
      <c r="AA19" s="491"/>
      <c r="AB19" s="490"/>
    </row>
    <row r="20" spans="4:28" ht="16.149999999999999" customHeight="1" x14ac:dyDescent="0.2">
      <c r="E20" s="619"/>
      <c r="F20" s="434"/>
      <c r="G20" s="434"/>
      <c r="H20" s="434"/>
      <c r="I20" s="434"/>
      <c r="J20" s="434"/>
      <c r="K20" s="434"/>
      <c r="L20" s="434"/>
      <c r="M20" s="434"/>
      <c r="N20" s="434"/>
      <c r="O20" s="434"/>
      <c r="P20" s="434"/>
      <c r="Q20" s="434"/>
      <c r="R20" s="434"/>
      <c r="S20" s="434"/>
      <c r="T20" s="434"/>
      <c r="U20" s="434"/>
      <c r="V20" s="434"/>
      <c r="W20" s="434"/>
      <c r="X20" s="438"/>
      <c r="Z20" s="492"/>
      <c r="AA20" s="491"/>
      <c r="AB20" s="490"/>
    </row>
    <row r="21" spans="4:28" ht="16.149999999999999" customHeight="1" thickBot="1" x14ac:dyDescent="0.25">
      <c r="E21" s="620"/>
      <c r="F21" s="439"/>
      <c r="G21" s="439"/>
      <c r="H21" s="439"/>
      <c r="I21" s="439"/>
      <c r="J21" s="439"/>
      <c r="K21" s="439"/>
      <c r="L21" s="439"/>
      <c r="M21" s="439"/>
      <c r="N21" s="439"/>
      <c r="O21" s="439"/>
      <c r="P21" s="439"/>
      <c r="Q21" s="439"/>
      <c r="R21" s="439"/>
      <c r="S21" s="439"/>
      <c r="T21" s="439"/>
      <c r="U21" s="439"/>
      <c r="V21" s="439"/>
      <c r="W21" s="439"/>
      <c r="X21" s="176"/>
      <c r="Z21" s="492"/>
      <c r="AA21" s="491"/>
      <c r="AB21" s="490"/>
    </row>
    <row r="22" spans="4:28" ht="16.149999999999999" customHeight="1" thickTop="1" thickBot="1" x14ac:dyDescent="0.25">
      <c r="E22" s="620"/>
      <c r="F22" s="439"/>
      <c r="G22" s="439"/>
      <c r="H22" s="439"/>
      <c r="I22" s="439"/>
      <c r="J22" s="439"/>
      <c r="K22" s="439"/>
      <c r="L22" s="439"/>
      <c r="M22" s="439"/>
      <c r="N22" s="439"/>
      <c r="O22" s="439"/>
      <c r="P22" s="439"/>
      <c r="Q22" s="439"/>
      <c r="R22" s="439"/>
      <c r="S22" s="439"/>
      <c r="T22" s="439"/>
      <c r="U22" s="439"/>
      <c r="V22" s="439"/>
      <c r="W22" s="439"/>
      <c r="X22" s="176"/>
      <c r="Z22" s="492"/>
      <c r="AA22" s="491"/>
      <c r="AB22" s="490"/>
    </row>
    <row r="23" spans="4:28" ht="16.149999999999999" customHeight="1" thickTop="1" thickBot="1" x14ac:dyDescent="0.25">
      <c r="E23" s="887" t="str">
        <f ca="1">PROPER('VISITOR DAYS'!$U$6)&amp;" - "&amp;CHARTYEAR&amp;" - "&amp;$C$4&amp;" - Distribution of Impact by Month"</f>
        <v>Visitor Days - 2013 - 000s - Distribution of Impact by Month</v>
      </c>
      <c r="F23" s="888"/>
      <c r="G23" s="888"/>
      <c r="H23" s="888"/>
      <c r="I23" s="888"/>
      <c r="J23" s="888"/>
      <c r="K23" s="888"/>
      <c r="L23" s="888"/>
      <c r="M23" s="888"/>
      <c r="N23" s="888"/>
      <c r="O23" s="889" t="str">
        <f>"Direct Employment Supported - "&amp;CHARTYEAR&amp;" - FTEs - Distribution of Impact by Month"</f>
        <v>Direct Employment Supported - 2013 - FTEs - Distribution of Impact by Month</v>
      </c>
      <c r="P23" s="890"/>
      <c r="Q23" s="890"/>
      <c r="R23" s="890"/>
      <c r="S23" s="890"/>
      <c r="T23" s="890"/>
      <c r="U23" s="890"/>
      <c r="V23" s="890"/>
      <c r="W23" s="890"/>
      <c r="X23" s="891"/>
      <c r="Z23" s="492"/>
      <c r="AA23" s="491"/>
      <c r="AB23" s="490"/>
    </row>
    <row r="24" spans="4:28" ht="16.149999999999999" customHeight="1" thickTop="1" x14ac:dyDescent="0.2">
      <c r="E24" s="621"/>
      <c r="F24" s="610"/>
      <c r="G24" s="610"/>
      <c r="H24" s="610"/>
      <c r="I24" s="610"/>
      <c r="J24" s="610"/>
      <c r="K24" s="610"/>
      <c r="L24" s="610"/>
      <c r="M24" s="610"/>
      <c r="N24" s="610"/>
      <c r="O24" s="610"/>
      <c r="P24" s="610"/>
      <c r="Q24" s="610"/>
      <c r="R24" s="610"/>
      <c r="S24" s="610"/>
      <c r="T24" s="610"/>
      <c r="U24" s="610"/>
      <c r="V24" s="610"/>
      <c r="W24" s="611"/>
      <c r="X24" s="431"/>
      <c r="AA24" s="492"/>
      <c r="AB24" s="490"/>
    </row>
    <row r="25" spans="4:28" ht="16.149999999999999" customHeight="1" x14ac:dyDescent="0.2">
      <c r="E25" s="622"/>
      <c r="F25" s="612"/>
      <c r="G25" s="612"/>
      <c r="H25" s="612"/>
      <c r="I25" s="612"/>
      <c r="J25" s="612"/>
      <c r="K25" s="612"/>
      <c r="L25" s="612"/>
      <c r="M25" s="612"/>
      <c r="N25" s="612"/>
      <c r="O25" s="612"/>
      <c r="P25" s="612"/>
      <c r="Q25" s="612"/>
      <c r="R25" s="612"/>
      <c r="S25" s="612"/>
      <c r="T25" s="612"/>
      <c r="U25" s="612"/>
      <c r="V25" s="612"/>
      <c r="W25" s="612"/>
      <c r="X25" s="435"/>
      <c r="AA25" s="492"/>
      <c r="AB25" s="490"/>
    </row>
    <row r="26" spans="4:28" ht="16.149999999999999" customHeight="1" x14ac:dyDescent="0.2">
      <c r="E26" s="427"/>
      <c r="F26" s="166"/>
      <c r="G26" s="166"/>
      <c r="H26" s="166"/>
      <c r="I26" s="166"/>
      <c r="J26" s="166"/>
      <c r="K26" s="166"/>
      <c r="L26" s="166"/>
      <c r="M26" s="166"/>
      <c r="N26" s="166"/>
      <c r="O26" s="166"/>
      <c r="P26" s="166"/>
      <c r="Q26" s="166"/>
      <c r="R26" s="166"/>
      <c r="S26" s="166"/>
      <c r="T26" s="166"/>
      <c r="U26" s="166"/>
      <c r="V26" s="166"/>
      <c r="W26" s="166"/>
      <c r="X26" s="437"/>
      <c r="AA26" s="492"/>
      <c r="AB26" s="490"/>
    </row>
    <row r="27" spans="4:28" ht="16.149999999999999" customHeight="1" x14ac:dyDescent="0.2">
      <c r="E27" s="427"/>
      <c r="F27" s="166"/>
      <c r="G27" s="166"/>
      <c r="H27" s="166"/>
      <c r="I27" s="166"/>
      <c r="J27" s="166"/>
      <c r="K27" s="166"/>
      <c r="L27" s="166"/>
      <c r="M27" s="166"/>
      <c r="N27" s="166"/>
      <c r="O27" s="166"/>
      <c r="P27" s="166"/>
      <c r="Q27" s="166"/>
      <c r="R27" s="166"/>
      <c r="S27" s="166"/>
      <c r="T27" s="166"/>
      <c r="U27" s="166"/>
      <c r="V27" s="166"/>
      <c r="W27" s="166"/>
      <c r="X27" s="437"/>
      <c r="Z27" s="492">
        <f>R64</f>
        <v>0</v>
      </c>
      <c r="AA27" s="491"/>
      <c r="AB27" s="490"/>
    </row>
    <row r="28" spans="4:28" ht="16.149999999999999" customHeight="1" x14ac:dyDescent="0.2">
      <c r="D28" s="203"/>
      <c r="E28" s="427"/>
      <c r="F28" s="166"/>
      <c r="G28" s="166"/>
      <c r="H28" s="166"/>
      <c r="I28" s="166"/>
      <c r="J28" s="166"/>
      <c r="K28" s="166"/>
      <c r="L28" s="166"/>
      <c r="M28" s="166"/>
      <c r="N28" s="166"/>
      <c r="O28" s="166"/>
      <c r="P28" s="166"/>
      <c r="Q28" s="166"/>
      <c r="R28" s="166"/>
      <c r="S28" s="166"/>
      <c r="T28" s="166"/>
      <c r="U28" s="166"/>
      <c r="V28" s="166"/>
      <c r="W28" s="166"/>
      <c r="X28" s="437"/>
      <c r="Z28" s="492"/>
      <c r="AA28" s="491"/>
      <c r="AB28" s="490"/>
    </row>
    <row r="29" spans="4:28" ht="16.149999999999999" customHeight="1" x14ac:dyDescent="0.2">
      <c r="D29" s="203"/>
      <c r="E29" s="623"/>
      <c r="F29" s="425"/>
      <c r="G29" s="425"/>
      <c r="H29" s="425"/>
      <c r="I29" s="425"/>
      <c r="J29" s="425"/>
      <c r="K29" s="425"/>
      <c r="L29" s="425"/>
      <c r="M29" s="425"/>
      <c r="N29" s="425"/>
      <c r="O29" s="425"/>
      <c r="P29" s="425"/>
      <c r="Q29" s="425"/>
      <c r="R29" s="425"/>
      <c r="S29" s="425"/>
      <c r="T29" s="425"/>
      <c r="U29" s="425"/>
      <c r="V29" s="425"/>
      <c r="W29" s="425"/>
      <c r="X29" s="426"/>
      <c r="Z29" s="492"/>
      <c r="AA29" s="491"/>
      <c r="AB29" s="491"/>
    </row>
    <row r="30" spans="4:28" ht="16.149999999999999" customHeight="1" x14ac:dyDescent="0.2">
      <c r="D30" s="203"/>
      <c r="E30" s="623"/>
      <c r="F30" s="425"/>
      <c r="G30" s="425"/>
      <c r="H30" s="425"/>
      <c r="I30" s="425"/>
      <c r="J30" s="425"/>
      <c r="K30" s="425"/>
      <c r="L30" s="425"/>
      <c r="M30" s="425"/>
      <c r="N30" s="425"/>
      <c r="O30" s="425"/>
      <c r="P30" s="425"/>
      <c r="Q30" s="425"/>
      <c r="R30" s="425"/>
      <c r="S30" s="425"/>
      <c r="T30" s="425"/>
      <c r="U30" s="425"/>
      <c r="V30" s="425"/>
      <c r="W30" s="425"/>
      <c r="X30" s="426"/>
      <c r="Z30" s="492"/>
      <c r="AA30" s="491"/>
      <c r="AB30" s="491"/>
    </row>
    <row r="31" spans="4:28" ht="16.149999999999999" customHeight="1" x14ac:dyDescent="0.2">
      <c r="D31" s="203"/>
      <c r="E31" s="623"/>
      <c r="F31" s="425"/>
      <c r="G31" s="425"/>
      <c r="H31" s="425"/>
      <c r="I31" s="425"/>
      <c r="J31" s="425"/>
      <c r="K31" s="425"/>
      <c r="L31" s="425"/>
      <c r="M31" s="425"/>
      <c r="N31" s="425"/>
      <c r="O31" s="425"/>
      <c r="P31" s="425"/>
      <c r="Q31" s="425"/>
      <c r="R31" s="425"/>
      <c r="S31" s="425"/>
      <c r="T31" s="425"/>
      <c r="U31" s="425"/>
      <c r="V31" s="425"/>
      <c r="W31" s="425"/>
      <c r="X31" s="426"/>
      <c r="Z31" s="492"/>
      <c r="AA31" s="491"/>
      <c r="AB31" s="491"/>
    </row>
    <row r="32" spans="4:28" ht="16.149999999999999" customHeight="1" x14ac:dyDescent="0.2">
      <c r="D32" s="203"/>
      <c r="E32" s="623"/>
      <c r="F32" s="425"/>
      <c r="G32" s="425"/>
      <c r="H32" s="425"/>
      <c r="I32" s="425"/>
      <c r="J32" s="425"/>
      <c r="K32" s="425"/>
      <c r="L32" s="425"/>
      <c r="M32" s="425"/>
      <c r="N32" s="425"/>
      <c r="O32" s="425"/>
      <c r="P32" s="425"/>
      <c r="Q32" s="425"/>
      <c r="R32" s="425"/>
      <c r="S32" s="425"/>
      <c r="T32" s="425"/>
      <c r="U32" s="425"/>
      <c r="V32" s="425"/>
      <c r="W32" s="425"/>
      <c r="X32" s="426"/>
      <c r="Z32" s="492"/>
      <c r="AA32" s="491"/>
      <c r="AB32" s="490"/>
    </row>
    <row r="33" spans="3:28" ht="16.149999999999999" customHeight="1" x14ac:dyDescent="0.2">
      <c r="D33" s="203"/>
      <c r="E33" s="254"/>
      <c r="F33" s="493"/>
      <c r="G33" s="494"/>
      <c r="H33" s="494"/>
      <c r="I33" s="495"/>
      <c r="J33" s="495"/>
      <c r="K33" s="495"/>
      <c r="L33" s="495"/>
      <c r="M33" s="495"/>
      <c r="N33" s="496"/>
      <c r="O33" s="613"/>
      <c r="P33" s="495"/>
      <c r="Q33" s="495"/>
      <c r="R33" s="614"/>
      <c r="S33" s="425"/>
      <c r="T33" s="447"/>
      <c r="U33" s="447"/>
      <c r="V33" s="447"/>
      <c r="W33" s="447"/>
      <c r="X33" s="461"/>
      <c r="Z33" s="492"/>
      <c r="AA33" s="491"/>
      <c r="AB33" s="490"/>
    </row>
    <row r="34" spans="3:28" ht="16.149999999999999" customHeight="1" x14ac:dyDescent="0.2">
      <c r="D34" s="203"/>
      <c r="E34" s="497"/>
      <c r="F34" s="498"/>
      <c r="G34" s="499"/>
      <c r="H34" s="499"/>
      <c r="I34" s="499"/>
      <c r="J34" s="499"/>
      <c r="K34" s="499"/>
      <c r="L34" s="499"/>
      <c r="M34" s="499"/>
      <c r="N34" s="500"/>
      <c r="O34" s="615"/>
      <c r="P34" s="499"/>
      <c r="Q34" s="499"/>
      <c r="R34" s="166"/>
      <c r="S34" s="425"/>
      <c r="T34" s="447"/>
      <c r="U34" s="447"/>
      <c r="V34" s="447"/>
      <c r="W34" s="447"/>
      <c r="X34" s="461"/>
      <c r="Z34" s="247"/>
    </row>
    <row r="35" spans="3:28" ht="16.149999999999999" customHeight="1" x14ac:dyDescent="0.2">
      <c r="D35" s="203"/>
      <c r="E35" s="497"/>
      <c r="F35" s="498"/>
      <c r="G35" s="499"/>
      <c r="H35" s="499"/>
      <c r="I35" s="499"/>
      <c r="J35" s="499"/>
      <c r="K35" s="499"/>
      <c r="L35" s="499"/>
      <c r="M35" s="499"/>
      <c r="N35" s="500"/>
      <c r="O35" s="615"/>
      <c r="P35" s="499"/>
      <c r="Q35" s="499"/>
      <c r="R35" s="166"/>
      <c r="S35" s="425"/>
      <c r="T35" s="425"/>
      <c r="U35" s="425"/>
      <c r="V35" s="425"/>
      <c r="W35" s="425"/>
      <c r="X35" s="426"/>
      <c r="Z35" s="247"/>
    </row>
    <row r="36" spans="3:28" ht="16.149999999999999" customHeight="1" x14ac:dyDescent="0.2">
      <c r="D36" s="203"/>
      <c r="E36" s="497"/>
      <c r="F36" s="498"/>
      <c r="G36" s="499"/>
      <c r="H36" s="499"/>
      <c r="I36" s="499"/>
      <c r="J36" s="499"/>
      <c r="K36" s="499"/>
      <c r="L36" s="499"/>
      <c r="M36" s="499"/>
      <c r="N36" s="500"/>
      <c r="O36" s="615"/>
      <c r="P36" s="499"/>
      <c r="Q36" s="499"/>
      <c r="R36" s="166"/>
      <c r="S36" s="425"/>
      <c r="T36" s="425"/>
      <c r="U36" s="425"/>
      <c r="V36" s="425"/>
      <c r="W36" s="425"/>
      <c r="X36" s="426"/>
      <c r="Z36" s="247"/>
    </row>
    <row r="37" spans="3:28" ht="16.149999999999999" customHeight="1" thickBot="1" x14ac:dyDescent="0.25">
      <c r="D37" s="203"/>
      <c r="E37" s="462"/>
      <c r="F37" s="463"/>
      <c r="G37" s="464"/>
      <c r="H37" s="464"/>
      <c r="I37" s="464"/>
      <c r="J37" s="464"/>
      <c r="K37" s="464"/>
      <c r="L37" s="464"/>
      <c r="M37" s="464"/>
      <c r="N37" s="465"/>
      <c r="O37" s="466"/>
      <c r="P37" s="464"/>
      <c r="Q37" s="464"/>
      <c r="R37" s="464"/>
      <c r="S37" s="284"/>
      <c r="T37" s="284"/>
      <c r="U37" s="284"/>
      <c r="V37" s="284"/>
      <c r="W37" s="284"/>
      <c r="X37" s="285"/>
      <c r="Z37" s="247"/>
    </row>
    <row r="38" spans="3:28" s="181"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3:28" ht="16.149999999999999" customHeight="1" thickTop="1" x14ac:dyDescent="0.2"/>
    <row r="40" spans="3:28" ht="16.149999999999999" customHeight="1" x14ac:dyDescent="0.2">
      <c r="G40" s="247"/>
      <c r="H40" s="247"/>
      <c r="I40" s="247"/>
      <c r="J40" s="247"/>
      <c r="K40" s="247"/>
      <c r="L40" s="247"/>
      <c r="M40" s="247"/>
      <c r="N40" s="247"/>
      <c r="O40" s="247"/>
      <c r="P40" s="247"/>
      <c r="Q40" s="247"/>
      <c r="R40" s="247"/>
      <c r="S40" s="247"/>
      <c r="T40" s="247"/>
      <c r="U40" s="247"/>
      <c r="V40" s="247"/>
    </row>
    <row r="41" spans="3:28" ht="16.149999999999999" customHeight="1" x14ac:dyDescent="0.2">
      <c r="G41" s="247"/>
      <c r="H41" s="247"/>
      <c r="I41" s="247"/>
      <c r="J41" s="247"/>
      <c r="K41" s="247"/>
      <c r="L41" s="247"/>
      <c r="M41" s="247"/>
      <c r="N41" s="247"/>
      <c r="O41" s="247"/>
      <c r="P41" s="247"/>
      <c r="Q41" s="247"/>
      <c r="R41" s="247"/>
      <c r="S41" s="247"/>
      <c r="T41" s="247"/>
      <c r="U41" s="247"/>
      <c r="V41" s="247"/>
    </row>
    <row r="43" spans="3:28" ht="16.149999999999999" customHeight="1" x14ac:dyDescent="0.2">
      <c r="C43" s="628"/>
      <c r="D43" s="626"/>
      <c r="E43" s="642">
        <f>CHARTYEAR</f>
        <v>2013</v>
      </c>
      <c r="F43" s="631" t="str">
        <f t="array" ref="F43:Q43">{"Jan","Feb","Mar","Apr","May","Jun","Jul","Aug","Sep","Oct","Nov","Dec"}</f>
        <v>Jan</v>
      </c>
      <c r="G43" s="643" t="str">
        <v>Feb</v>
      </c>
      <c r="H43" s="631" t="str">
        <v>Mar</v>
      </c>
      <c r="I43" s="631" t="str">
        <v>Apr</v>
      </c>
      <c r="J43" s="631" t="str">
        <v>May</v>
      </c>
      <c r="K43" s="631" t="str">
        <v>Jun</v>
      </c>
      <c r="L43" s="631" t="str">
        <v>Jul</v>
      </c>
      <c r="M43" s="631" t="str">
        <v>Aug</v>
      </c>
      <c r="N43" s="631" t="str">
        <v>Sep</v>
      </c>
      <c r="O43" s="631" t="str">
        <v>Oct</v>
      </c>
      <c r="P43" s="631" t="str">
        <v>Nov</v>
      </c>
      <c r="Q43" s="631" t="str">
        <v>Dec</v>
      </c>
      <c r="R43" s="631"/>
      <c r="S43" s="631"/>
      <c r="T43" s="631"/>
      <c r="U43" s="631"/>
      <c r="V43" s="631"/>
      <c r="W43" s="628"/>
    </row>
    <row r="44" spans="3:28" ht="16.149999999999999" customHeight="1" x14ac:dyDescent="0.2">
      <c r="C44" s="628"/>
      <c r="D44" s="626"/>
      <c r="E44" s="644" t="str">
        <f t="array" ref="E44:E47">INDEX(TYPE.choices,{2;3;4;6})</f>
        <v>Serviced Accommodation</v>
      </c>
      <c r="F44" s="630">
        <f>INDEX(DATA!H:H,MATCH(CHARTYEAR&amp;"."&amp;"ECONOMIC IMPACT"&amp;"."&amp;$E44,DATA!$C:$C,0))*INDEX(REP.indexationfactors,(MATCH(CHARTYEAR,REP.yearsrange,0)))</f>
        <v>3448.819852821036</v>
      </c>
      <c r="G44" s="630">
        <f>INDEX(DATA!I:I,MATCH(CHARTYEAR&amp;"."&amp;"ECONOMIC IMPACT"&amp;"."&amp;$E44,DATA!$C:$C,0))*INDEX(REP.indexationfactors,(MATCH(CHARTYEAR,REP.yearsrange,0)))</f>
        <v>3233.1769326742187</v>
      </c>
      <c r="H44" s="630">
        <f>INDEX(DATA!J:J,MATCH(CHARTYEAR&amp;"."&amp;"ECONOMIC IMPACT"&amp;"."&amp;$E44,DATA!$C:$C,0))*INDEX(REP.indexationfactors,(MATCH(CHARTYEAR,REP.yearsrange,0)))</f>
        <v>4706.5753729039261</v>
      </c>
      <c r="I44" s="630">
        <f>INDEX(DATA!K:K,MATCH(CHARTYEAR&amp;"."&amp;"ECONOMIC IMPACT"&amp;"."&amp;$E44,DATA!$C:$C,0))*INDEX(REP.indexationfactors,(MATCH(CHARTYEAR,REP.yearsrange,0)))</f>
        <v>3104.4168837701627</v>
      </c>
      <c r="J44" s="630">
        <f>INDEX(DATA!L:L,MATCH(CHARTYEAR&amp;"."&amp;"ECONOMIC IMPACT"&amp;"."&amp;$E44,DATA!$C:$C,0))*INDEX(REP.indexationfactors,(MATCH(CHARTYEAR,REP.yearsrange,0)))</f>
        <v>2995.3502049392505</v>
      </c>
      <c r="K44" s="630">
        <f>INDEX(DATA!M:M,MATCH(CHARTYEAR&amp;"."&amp;"ECONOMIC IMPACT"&amp;"."&amp;$E44,DATA!$C:$C,0))*INDEX(REP.indexationfactors,(MATCH(CHARTYEAR,REP.yearsrange,0)))</f>
        <v>3734.8470342147843</v>
      </c>
      <c r="L44" s="630">
        <f>INDEX(DATA!N:N,MATCH(CHARTYEAR&amp;"."&amp;"ECONOMIC IMPACT"&amp;"."&amp;$E44,DATA!$C:$C,0))*INDEX(REP.indexationfactors,(MATCH(CHARTYEAR,REP.yearsrange,0)))</f>
        <v>6232.2400424892894</v>
      </c>
      <c r="M44" s="630">
        <f>INDEX(DATA!O:O,MATCH(CHARTYEAR&amp;"."&amp;"ECONOMIC IMPACT"&amp;"."&amp;$E44,DATA!$C:$C,0))*INDEX(REP.indexationfactors,(MATCH(CHARTYEAR,REP.yearsrange,0)))</f>
        <v>6199.1884772924059</v>
      </c>
      <c r="N44" s="630">
        <f>INDEX(DATA!P:P,MATCH(CHARTYEAR&amp;"."&amp;"ECONOMIC IMPACT"&amp;"."&amp;$E44,DATA!$C:$C,0))*INDEX(REP.indexationfactors,(MATCH(CHARTYEAR,REP.yearsrange,0)))</f>
        <v>4286.9175128766856</v>
      </c>
      <c r="O44" s="630">
        <f>INDEX(DATA!Q:Q,MATCH(CHARTYEAR&amp;"."&amp;"ECONOMIC IMPACT"&amp;"."&amp;$E44,DATA!$C:$C,0))*INDEX(REP.indexationfactors,(MATCH(CHARTYEAR,REP.yearsrange,0)))</f>
        <v>3451.5296953815396</v>
      </c>
      <c r="P44" s="630">
        <f>INDEX(DATA!R:R,MATCH(CHARTYEAR&amp;"."&amp;"ECONOMIC IMPACT"&amp;"."&amp;$E44,DATA!$C:$C,0))*INDEX(REP.indexationfactors,(MATCH(CHARTYEAR,REP.yearsrange,0)))</f>
        <v>2114.8167968538178</v>
      </c>
      <c r="Q44" s="630">
        <f>INDEX(DATA!S:S,MATCH(CHARTYEAR&amp;"."&amp;"ECONOMIC IMPACT"&amp;"."&amp;$E44,DATA!$C:$C,0))*INDEX(REP.indexationfactors,(MATCH(CHARTYEAR,REP.yearsrange,0)))</f>
        <v>1570.1498891071878</v>
      </c>
      <c r="R44" s="630"/>
      <c r="S44" s="631"/>
      <c r="T44" s="631"/>
      <c r="U44" s="632"/>
      <c r="V44" s="632"/>
      <c r="W44" s="628"/>
    </row>
    <row r="45" spans="3:28" ht="16.149999999999999" customHeight="1" x14ac:dyDescent="0.2">
      <c r="C45" s="628"/>
      <c r="D45" s="626"/>
      <c r="E45" s="644" t="str">
        <v>Non-Serviced Accommodation</v>
      </c>
      <c r="F45" s="630">
        <f>INDEX(DATA!H:H,MATCH(CHARTYEAR&amp;"."&amp;"ECONOMIC IMPACT"&amp;"."&amp;$E45,DATA!$C:$C,0))*INDEX(REP.indexationfactors,(MATCH(CHARTYEAR,REP.yearsrange,0)))</f>
        <v>161.21793853832932</v>
      </c>
      <c r="G45" s="630">
        <f>INDEX(DATA!I:I,MATCH(CHARTYEAR&amp;"."&amp;"ECONOMIC IMPACT"&amp;"."&amp;$E45,DATA!$C:$C,0))*INDEX(REP.indexationfactors,(MATCH(CHARTYEAR,REP.yearsrange,0)))</f>
        <v>260.90411746638426</v>
      </c>
      <c r="H45" s="630">
        <f>INDEX(DATA!J:J,MATCH(CHARTYEAR&amp;"."&amp;"ECONOMIC IMPACT"&amp;"."&amp;$E45,DATA!$C:$C,0))*INDEX(REP.indexationfactors,(MATCH(CHARTYEAR,REP.yearsrange,0)))</f>
        <v>682.36664190825957</v>
      </c>
      <c r="I45" s="630">
        <f>INDEX(DATA!K:K,MATCH(CHARTYEAR&amp;"."&amp;"ECONOMIC IMPACT"&amp;"."&amp;$E45,DATA!$C:$C,0))*INDEX(REP.indexationfactors,(MATCH(CHARTYEAR,REP.yearsrange,0)))</f>
        <v>2191.3600299402065</v>
      </c>
      <c r="J45" s="630">
        <f>INDEX(DATA!L:L,MATCH(CHARTYEAR&amp;"."&amp;"ECONOMIC IMPACT"&amp;"."&amp;$E45,DATA!$C:$C,0))*INDEX(REP.indexationfactors,(MATCH(CHARTYEAR,REP.yearsrange,0)))</f>
        <v>2667.4553145201107</v>
      </c>
      <c r="K45" s="630">
        <f>INDEX(DATA!M:M,MATCH(CHARTYEAR&amp;"."&amp;"ECONOMIC IMPACT"&amp;"."&amp;$E45,DATA!$C:$C,0))*INDEX(REP.indexationfactors,(MATCH(CHARTYEAR,REP.yearsrange,0)))</f>
        <v>2863.7850296914785</v>
      </c>
      <c r="L45" s="630">
        <f>INDEX(DATA!N:N,MATCH(CHARTYEAR&amp;"."&amp;"ECONOMIC IMPACT"&amp;"."&amp;$E45,DATA!$C:$C,0))*INDEX(REP.indexationfactors,(MATCH(CHARTYEAR,REP.yearsrange,0)))</f>
        <v>3753.9290373447398</v>
      </c>
      <c r="M45" s="630">
        <f>INDEX(DATA!O:O,MATCH(CHARTYEAR&amp;"."&amp;"ECONOMIC IMPACT"&amp;"."&amp;$E45,DATA!$C:$C,0))*INDEX(REP.indexationfactors,(MATCH(CHARTYEAR,REP.yearsrange,0)))</f>
        <v>3745.3970225194421</v>
      </c>
      <c r="N45" s="630">
        <f>INDEX(DATA!P:P,MATCH(CHARTYEAR&amp;"."&amp;"ECONOMIC IMPACT"&amp;"."&amp;$E45,DATA!$C:$C,0))*INDEX(REP.indexationfactors,(MATCH(CHARTYEAR,REP.yearsrange,0)))</f>
        <v>2329.059721408129</v>
      </c>
      <c r="O45" s="630">
        <f>INDEX(DATA!Q:Q,MATCH(CHARTYEAR&amp;"."&amp;"ECONOMIC IMPACT"&amp;"."&amp;$E45,DATA!$C:$C,0))*INDEX(REP.indexationfactors,(MATCH(CHARTYEAR,REP.yearsrange,0)))</f>
        <v>1904.3384656213734</v>
      </c>
      <c r="P45" s="630">
        <f>INDEX(DATA!R:R,MATCH(CHARTYEAR&amp;"."&amp;"ECONOMIC IMPACT"&amp;"."&amp;$E45,DATA!$C:$C,0))*INDEX(REP.indexationfactors,(MATCH(CHARTYEAR,REP.yearsrange,0)))</f>
        <v>399.99408367211151</v>
      </c>
      <c r="Q45" s="630">
        <f>INDEX(DATA!S:S,MATCH(CHARTYEAR&amp;"."&amp;"ECONOMIC IMPACT"&amp;"."&amp;$E45,DATA!$C:$C,0))*INDEX(REP.indexationfactors,(MATCH(CHARTYEAR,REP.yearsrange,0)))</f>
        <v>277.69314050137183</v>
      </c>
      <c r="R45" s="630"/>
      <c r="S45" s="631"/>
      <c r="T45" s="631"/>
      <c r="U45" s="632"/>
      <c r="V45" s="632"/>
      <c r="W45" s="628"/>
    </row>
    <row r="46" spans="3:28" ht="16.149999999999999" customHeight="1" x14ac:dyDescent="0.2">
      <c r="C46" s="628"/>
      <c r="D46" s="626"/>
      <c r="E46" s="645" t="str">
        <v>SFR</v>
      </c>
      <c r="F46" s="630">
        <f>INDEX(DATA!H:H,MATCH(CHARTYEAR&amp;"."&amp;"ECONOMIC IMPACT"&amp;"."&amp;$E46,DATA!$C:$C,0))*INDEX(REP.indexationfactors,(MATCH(CHARTYEAR,REP.yearsrange,0)))</f>
        <v>1298.1867813091035</v>
      </c>
      <c r="G46" s="630">
        <f>INDEX(DATA!I:I,MATCH(CHARTYEAR&amp;"."&amp;"ECONOMIC IMPACT"&amp;"."&amp;$E46,DATA!$C:$C,0))*INDEX(REP.indexationfactors,(MATCH(CHARTYEAR,REP.yearsrange,0)))</f>
        <v>736.59187374974999</v>
      </c>
      <c r="H46" s="630">
        <f>INDEX(DATA!J:J,MATCH(CHARTYEAR&amp;"."&amp;"ECONOMIC IMPACT"&amp;"."&amp;$E46,DATA!$C:$C,0))*INDEX(REP.indexationfactors,(MATCH(CHARTYEAR,REP.yearsrange,0)))</f>
        <v>1033.8168120735336</v>
      </c>
      <c r="I46" s="630">
        <f>INDEX(DATA!K:K,MATCH(CHARTYEAR&amp;"."&amp;"ECONOMIC IMPACT"&amp;"."&amp;$E46,DATA!$C:$C,0))*INDEX(REP.indexationfactors,(MATCH(CHARTYEAR,REP.yearsrange,0)))</f>
        <v>1525.3482389993769</v>
      </c>
      <c r="J46" s="630">
        <f>INDEX(DATA!L:L,MATCH(CHARTYEAR&amp;"."&amp;"ECONOMIC IMPACT"&amp;"."&amp;$E46,DATA!$C:$C,0))*INDEX(REP.indexationfactors,(MATCH(CHARTYEAR,REP.yearsrange,0)))</f>
        <v>1182.3000371125499</v>
      </c>
      <c r="K46" s="630">
        <f>INDEX(DATA!M:M,MATCH(CHARTYEAR&amp;"."&amp;"ECONOMIC IMPACT"&amp;"."&amp;$E46,DATA!$C:$C,0))*INDEX(REP.indexationfactors,(MATCH(CHARTYEAR,REP.yearsrange,0)))</f>
        <v>1617.2476002308345</v>
      </c>
      <c r="L46" s="630">
        <f>INDEX(DATA!N:N,MATCH(CHARTYEAR&amp;"."&amp;"ECONOMIC IMPACT"&amp;"."&amp;$E46,DATA!$C:$C,0))*INDEX(REP.indexationfactors,(MATCH(CHARTYEAR,REP.yearsrange,0)))</f>
        <v>1130.7050800628363</v>
      </c>
      <c r="M46" s="630">
        <f>INDEX(DATA!O:O,MATCH(CHARTYEAR&amp;"."&amp;"ECONOMIC IMPACT"&amp;"."&amp;$E46,DATA!$C:$C,0))*INDEX(REP.indexationfactors,(MATCH(CHARTYEAR,REP.yearsrange,0)))</f>
        <v>1985.9284122309593</v>
      </c>
      <c r="N46" s="630">
        <f>INDEX(DATA!P:P,MATCH(CHARTYEAR&amp;"."&amp;"ECONOMIC IMPACT"&amp;"."&amp;$E46,DATA!$C:$C,0))*INDEX(REP.indexationfactors,(MATCH(CHARTYEAR,REP.yearsrange,0)))</f>
        <v>806.83820661769664</v>
      </c>
      <c r="O46" s="630">
        <f>INDEX(DATA!Q:Q,MATCH(CHARTYEAR&amp;"."&amp;"ECONOMIC IMPACT"&amp;"."&amp;$E46,DATA!$C:$C,0))*INDEX(REP.indexationfactors,(MATCH(CHARTYEAR,REP.yearsrange,0)))</f>
        <v>738.7106516170245</v>
      </c>
      <c r="P46" s="630">
        <f>INDEX(DATA!R:R,MATCH(CHARTYEAR&amp;"."&amp;"ECONOMIC IMPACT"&amp;"."&amp;$E46,DATA!$C:$C,0))*INDEX(REP.indexationfactors,(MATCH(CHARTYEAR,REP.yearsrange,0)))</f>
        <v>631.99067975804246</v>
      </c>
      <c r="Q46" s="630">
        <f>INDEX(DATA!S:S,MATCH(CHARTYEAR&amp;"."&amp;"ECONOMIC IMPACT"&amp;"."&amp;$E46,DATA!$C:$C,0))*INDEX(REP.indexationfactors,(MATCH(CHARTYEAR,REP.yearsrange,0)))</f>
        <v>1467.2048800600514</v>
      </c>
      <c r="R46" s="630"/>
      <c r="S46" s="631"/>
      <c r="T46" s="631"/>
      <c r="U46" s="633"/>
      <c r="V46" s="633"/>
      <c r="W46" s="628"/>
    </row>
    <row r="47" spans="3:28" ht="16.149999999999999" customHeight="1" x14ac:dyDescent="0.2">
      <c r="C47" s="628"/>
      <c r="D47" s="626"/>
      <c r="E47" s="644" t="str">
        <v>Day Visitor</v>
      </c>
      <c r="F47" s="630">
        <f>INDEX(DATA!H:H,MATCH(CHARTYEAR&amp;"."&amp;"ECONOMIC IMPACT"&amp;"."&amp;$E47,DATA!$C:$C,0))*INDEX(REP.indexationfactors,(MATCH(CHARTYEAR,REP.yearsrange,0)))</f>
        <v>1325.6056535748337</v>
      </c>
      <c r="G47" s="630">
        <f>INDEX(DATA!I:I,MATCH(CHARTYEAR&amp;"."&amp;"ECONOMIC IMPACT"&amp;"."&amp;$E47,DATA!$C:$C,0))*INDEX(REP.indexationfactors,(MATCH(CHARTYEAR,REP.yearsrange,0)))</f>
        <v>2010.6829694570326</v>
      </c>
      <c r="H47" s="630">
        <f>INDEX(DATA!J:J,MATCH(CHARTYEAR&amp;"."&amp;"ECONOMIC IMPACT"&amp;"."&amp;$E47,DATA!$C:$C,0))*INDEX(REP.indexationfactors,(MATCH(CHARTYEAR,REP.yearsrange,0)))</f>
        <v>2186.7407948355558</v>
      </c>
      <c r="I47" s="630">
        <f>INDEX(DATA!K:K,MATCH(CHARTYEAR&amp;"."&amp;"ECONOMIC IMPACT"&amp;"."&amp;$E47,DATA!$C:$C,0))*INDEX(REP.indexationfactors,(MATCH(CHARTYEAR,REP.yearsrange,0)))</f>
        <v>594.54867083887177</v>
      </c>
      <c r="J47" s="630">
        <f>INDEX(DATA!L:L,MATCH(CHARTYEAR&amp;"."&amp;"ECONOMIC IMPACT"&amp;"."&amp;$E47,DATA!$C:$C,0))*INDEX(REP.indexationfactors,(MATCH(CHARTYEAR,REP.yearsrange,0)))</f>
        <v>1665.0095631584218</v>
      </c>
      <c r="K47" s="630">
        <f>INDEX(DATA!M:M,MATCH(CHARTYEAR&amp;"."&amp;"ECONOMIC IMPACT"&amp;"."&amp;$E47,DATA!$C:$C,0))*INDEX(REP.indexationfactors,(MATCH(CHARTYEAR,REP.yearsrange,0)))</f>
        <v>1065.8447097360804</v>
      </c>
      <c r="L47" s="630">
        <f>INDEX(DATA!N:N,MATCH(CHARTYEAR&amp;"."&amp;"ECONOMIC IMPACT"&amp;"."&amp;$E47,DATA!$C:$C,0))*INDEX(REP.indexationfactors,(MATCH(CHARTYEAR,REP.yearsrange,0)))</f>
        <v>1751.3466571629824</v>
      </c>
      <c r="M47" s="630">
        <f>INDEX(DATA!O:O,MATCH(CHARTYEAR&amp;"."&amp;"ECONOMIC IMPACT"&amp;"."&amp;$E47,DATA!$C:$C,0))*INDEX(REP.indexationfactors,(MATCH(CHARTYEAR,REP.yearsrange,0)))</f>
        <v>1086.5133973771149</v>
      </c>
      <c r="N47" s="630">
        <f>INDEX(DATA!P:P,MATCH(CHARTYEAR&amp;"."&amp;"ECONOMIC IMPACT"&amp;"."&amp;$E47,DATA!$C:$C,0))*INDEX(REP.indexationfactors,(MATCH(CHARTYEAR,REP.yearsrange,0)))</f>
        <v>527.06228180535891</v>
      </c>
      <c r="O47" s="630">
        <f>INDEX(DATA!Q:Q,MATCH(CHARTYEAR&amp;"."&amp;"ECONOMIC IMPACT"&amp;"."&amp;$E47,DATA!$C:$C,0))*INDEX(REP.indexationfactors,(MATCH(CHARTYEAR,REP.yearsrange,0)))</f>
        <v>779.65942421214538</v>
      </c>
      <c r="P47" s="630">
        <f>INDEX(DATA!R:R,MATCH(CHARTYEAR&amp;"."&amp;"ECONOMIC IMPACT"&amp;"."&amp;$E47,DATA!$C:$C,0))*INDEX(REP.indexationfactors,(MATCH(CHARTYEAR,REP.yearsrange,0)))</f>
        <v>673.44760418312762</v>
      </c>
      <c r="Q47" s="630">
        <f>INDEX(DATA!S:S,MATCH(CHARTYEAR&amp;"."&amp;"ECONOMIC IMPACT"&amp;"."&amp;$E47,DATA!$C:$C,0))*INDEX(REP.indexationfactors,(MATCH(CHARTYEAR,REP.yearsrange,0)))</f>
        <v>491.03132222723463</v>
      </c>
      <c r="R47" s="630"/>
      <c r="S47" s="634"/>
      <c r="T47" s="635"/>
      <c r="U47" s="634"/>
      <c r="V47" s="634"/>
      <c r="W47" s="628"/>
    </row>
    <row r="48" spans="3:28" ht="16.149999999999999" customHeight="1" x14ac:dyDescent="0.2">
      <c r="C48" s="628"/>
      <c r="D48" s="626"/>
      <c r="E48" s="644" t="str">
        <f t="array" ref="E48:E51">INDEX(TYPE.choices,{2;3;4;6})</f>
        <v>Serviced Accommodation</v>
      </c>
      <c r="F48" s="630">
        <f>INDEX(DATA!H:H,MATCH(CHARTYEAR&amp;"."&amp;"VISITOR NUMBERS"&amp;"."&amp;$E48,DATA!$C:$C,0))</f>
        <v>11.415811470261142</v>
      </c>
      <c r="G48" s="630">
        <f>INDEX(DATA!I:I,MATCH(CHARTYEAR&amp;"."&amp;"VISITOR NUMBERS"&amp;"."&amp;$E48,DATA!$C:$C,0))</f>
        <v>12.453237030310092</v>
      </c>
      <c r="H48" s="630">
        <f>INDEX(DATA!J:J,MATCH(CHARTYEAR&amp;"."&amp;"VISITOR NUMBERS"&amp;"."&amp;$E48,DATA!$C:$C,0))</f>
        <v>19.384522590857806</v>
      </c>
      <c r="I48" s="630">
        <f>INDEX(DATA!K:K,MATCH(CHARTYEAR&amp;"."&amp;"VISITOR NUMBERS"&amp;"."&amp;$E48,DATA!$C:$C,0))</f>
        <v>13.826526451539658</v>
      </c>
      <c r="J48" s="630">
        <f>INDEX(DATA!L:L,MATCH(CHARTYEAR&amp;"."&amp;"VISITOR NUMBERS"&amp;"."&amp;$E48,DATA!$C:$C,0))</f>
        <v>22.143780266751971</v>
      </c>
      <c r="K48" s="630">
        <f>INDEX(DATA!M:M,MATCH(CHARTYEAR&amp;"."&amp;"VISITOR NUMBERS"&amp;"."&amp;$E48,DATA!$C:$C,0))</f>
        <v>24.367687846652892</v>
      </c>
      <c r="L48" s="630">
        <f>INDEX(DATA!N:N,MATCH(CHARTYEAR&amp;"."&amp;"VISITOR NUMBERS"&amp;"."&amp;$E48,DATA!$C:$C,0))</f>
        <v>30.11915569997759</v>
      </c>
      <c r="M48" s="630">
        <f>INDEX(DATA!O:O,MATCH(CHARTYEAR&amp;"."&amp;"VISITOR NUMBERS"&amp;"."&amp;$E48,DATA!$C:$C,0))</f>
        <v>30.408873732575795</v>
      </c>
      <c r="N48" s="630">
        <f>INDEX(DATA!P:P,MATCH(CHARTYEAR&amp;"."&amp;"VISITOR NUMBERS"&amp;"."&amp;$E48,DATA!$C:$C,0))</f>
        <v>26.13874831694617</v>
      </c>
      <c r="O48" s="630">
        <f>INDEX(DATA!Q:Q,MATCH(CHARTYEAR&amp;"."&amp;"VISITOR NUMBERS"&amp;"."&amp;$E48,DATA!$C:$C,0))</f>
        <v>19.684165185615143</v>
      </c>
      <c r="P48" s="630">
        <f>INDEX(DATA!R:R,MATCH(CHARTYEAR&amp;"."&amp;"VISITOR NUMBERS"&amp;"."&amp;$E48,DATA!$C:$C,0))</f>
        <v>10.574996480990789</v>
      </c>
      <c r="Q48" s="630">
        <f>INDEX(DATA!S:S,MATCH(CHARTYEAR&amp;"."&amp;"VISITOR NUMBERS"&amp;"."&amp;$E48,DATA!$C:$C,0))</f>
        <v>8.1462603499124437</v>
      </c>
      <c r="R48" s="630"/>
      <c r="S48" s="634"/>
      <c r="T48" s="635"/>
      <c r="U48" s="634"/>
      <c r="V48" s="634"/>
      <c r="W48" s="628"/>
    </row>
    <row r="49" spans="3:23" ht="16.149999999999999" customHeight="1" x14ac:dyDescent="0.2">
      <c r="C49" s="628"/>
      <c r="D49" s="626"/>
      <c r="E49" s="644" t="str">
        <v>Non-Serviced Accommodation</v>
      </c>
      <c r="F49" s="630">
        <f>INDEX(DATA!H:H,MATCH(CHARTYEAR&amp;"."&amp;"VISITOR NUMBERS"&amp;"."&amp;$E49,DATA!$C:$C,0))</f>
        <v>0.47850385861885425</v>
      </c>
      <c r="G49" s="630">
        <f>INDEX(DATA!I:I,MATCH(CHARTYEAR&amp;"."&amp;"VISITOR NUMBERS"&amp;"."&amp;$E49,DATA!$C:$C,0))</f>
        <v>1.0565048266902324</v>
      </c>
      <c r="H49" s="630">
        <f>INDEX(DATA!J:J,MATCH(CHARTYEAR&amp;"."&amp;"VISITOR NUMBERS"&amp;"."&amp;$E49,DATA!$C:$C,0))</f>
        <v>2.6154194178382038</v>
      </c>
      <c r="I49" s="630">
        <f>INDEX(DATA!K:K,MATCH(CHARTYEAR&amp;"."&amp;"VISITOR NUMBERS"&amp;"."&amp;$E49,DATA!$C:$C,0))</f>
        <v>8.5865261545235931</v>
      </c>
      <c r="J49" s="630">
        <f>INDEX(DATA!L:L,MATCH(CHARTYEAR&amp;"."&amp;"VISITOR NUMBERS"&amp;"."&amp;$E49,DATA!$C:$C,0))</f>
        <v>8.136638569313682</v>
      </c>
      <c r="K49" s="630">
        <f>INDEX(DATA!M:M,MATCH(CHARTYEAR&amp;"."&amp;"VISITOR NUMBERS"&amp;"."&amp;$E49,DATA!$C:$C,0))</f>
        <v>8.9484094518166195</v>
      </c>
      <c r="L49" s="630">
        <f>INDEX(DATA!N:N,MATCH(CHARTYEAR&amp;"."&amp;"VISITOR NUMBERS"&amp;"."&amp;$E49,DATA!$C:$C,0))</f>
        <v>10.907324690302111</v>
      </c>
      <c r="M49" s="630">
        <f>INDEX(DATA!O:O,MATCH(CHARTYEAR&amp;"."&amp;"VISITOR NUMBERS"&amp;"."&amp;$E49,DATA!$C:$C,0))</f>
        <v>11.104555503942938</v>
      </c>
      <c r="N49" s="630">
        <f>INDEX(DATA!P:P,MATCH(CHARTYEAR&amp;"."&amp;"VISITOR NUMBERS"&amp;"."&amp;$E49,DATA!$C:$C,0))</f>
        <v>6.8550874651666085</v>
      </c>
      <c r="O49" s="630">
        <f>INDEX(DATA!Q:Q,MATCH(CHARTYEAR&amp;"."&amp;"VISITOR NUMBERS"&amp;"."&amp;$E49,DATA!$C:$C,0))</f>
        <v>5.812123322549775</v>
      </c>
      <c r="P49" s="630">
        <f>INDEX(DATA!R:R,MATCH(CHARTYEAR&amp;"."&amp;"VISITOR NUMBERS"&amp;"."&amp;$E49,DATA!$C:$C,0))</f>
        <v>1.251092404757669</v>
      </c>
      <c r="Q49" s="630">
        <f>INDEX(DATA!S:S,MATCH(CHARTYEAR&amp;"."&amp;"VISITOR NUMBERS"&amp;"."&amp;$E49,DATA!$C:$C,0))</f>
        <v>1.1340689690931447</v>
      </c>
      <c r="R49" s="630"/>
      <c r="S49" s="634"/>
      <c r="T49" s="635"/>
      <c r="U49" s="634"/>
      <c r="V49" s="634"/>
      <c r="W49" s="628"/>
    </row>
    <row r="50" spans="3:23" ht="16.149999999999999" customHeight="1" x14ac:dyDescent="0.2">
      <c r="C50" s="628"/>
      <c r="D50" s="626"/>
      <c r="E50" s="645" t="str">
        <v>SFR</v>
      </c>
      <c r="F50" s="630">
        <f>INDEX(DATA!H:H,MATCH(CHARTYEAR&amp;"."&amp;"VISITOR NUMBERS"&amp;"."&amp;$E50,DATA!$C:$C,0))</f>
        <v>10.027816803124912</v>
      </c>
      <c r="G50" s="630">
        <f>INDEX(DATA!I:I,MATCH(CHARTYEAR&amp;"."&amp;"VISITOR NUMBERS"&amp;"."&amp;$E50,DATA!$C:$C,0))</f>
        <v>6.2175371243831945</v>
      </c>
      <c r="H50" s="630">
        <f>INDEX(DATA!J:J,MATCH(CHARTYEAR&amp;"."&amp;"VISITOR NUMBERS"&amp;"."&amp;$E50,DATA!$C:$C,0))</f>
        <v>8.9601415771856487</v>
      </c>
      <c r="I50" s="630">
        <f>INDEX(DATA!K:K,MATCH(CHARTYEAR&amp;"."&amp;"VISITOR NUMBERS"&amp;"."&amp;$E50,DATA!$C:$C,0))</f>
        <v>11.503363556769765</v>
      </c>
      <c r="J50" s="630">
        <f>INDEX(DATA!L:L,MATCH(CHARTYEAR&amp;"."&amp;"VISITOR NUMBERS"&amp;"."&amp;$E50,DATA!$C:$C,0))</f>
        <v>8.8487292776177568</v>
      </c>
      <c r="K50" s="630">
        <f>INDEX(DATA!M:M,MATCH(CHARTYEAR&amp;"."&amp;"VISITOR NUMBERS"&amp;"."&amp;$E50,DATA!$C:$C,0))</f>
        <v>9.5292105156138689</v>
      </c>
      <c r="L50" s="630">
        <f>INDEX(DATA!N:N,MATCH(CHARTYEAR&amp;"."&amp;"VISITOR NUMBERS"&amp;"."&amp;$E50,DATA!$C:$C,0))</f>
        <v>7.8096278687245402</v>
      </c>
      <c r="M50" s="630">
        <f>INDEX(DATA!O:O,MATCH(CHARTYEAR&amp;"."&amp;"VISITOR NUMBERS"&amp;"."&amp;$E50,DATA!$C:$C,0))</f>
        <v>14.544628716951712</v>
      </c>
      <c r="N50" s="630">
        <f>INDEX(DATA!P:P,MATCH(CHARTYEAR&amp;"."&amp;"VISITOR NUMBERS"&amp;"."&amp;$E50,DATA!$C:$C,0))</f>
        <v>8.8981706701210843</v>
      </c>
      <c r="O50" s="630">
        <f>INDEX(DATA!Q:Q,MATCH(CHARTYEAR&amp;"."&amp;"VISITOR NUMBERS"&amp;"."&amp;$E50,DATA!$C:$C,0))</f>
        <v>8.4181206752294369</v>
      </c>
      <c r="P50" s="630">
        <f>INDEX(DATA!R:R,MATCH(CHARTYEAR&amp;"."&amp;"VISITOR NUMBERS"&amp;"."&amp;$E50,DATA!$C:$C,0))</f>
        <v>7.2995602161775848</v>
      </c>
      <c r="Q50" s="630">
        <f>INDEX(DATA!S:S,MATCH(CHARTYEAR&amp;"."&amp;"VISITOR NUMBERS"&amp;"."&amp;$E50,DATA!$C:$C,0))</f>
        <v>13.989288535809406</v>
      </c>
      <c r="R50" s="630"/>
      <c r="S50" s="636"/>
      <c r="T50" s="635"/>
      <c r="U50" s="636"/>
      <c r="V50" s="636"/>
      <c r="W50" s="628"/>
    </row>
    <row r="51" spans="3:23" ht="16.149999999999999" customHeight="1" x14ac:dyDescent="0.2">
      <c r="C51" s="628"/>
      <c r="D51" s="626"/>
      <c r="E51" s="644" t="str">
        <v>Day Visitor</v>
      </c>
      <c r="F51" s="630">
        <f>INDEX(DATA!H:H,MATCH(CHARTYEAR&amp;"."&amp;"VISITOR NUMBERS"&amp;"."&amp;$E51,DATA!$C:$C,0))</f>
        <v>23.611870012385737</v>
      </c>
      <c r="G51" s="630">
        <f>INDEX(DATA!I:I,MATCH(CHARTYEAR&amp;"."&amp;"VISITOR NUMBERS"&amp;"."&amp;$E51,DATA!$C:$C,0))</f>
        <v>35.81456127839084</v>
      </c>
      <c r="H51" s="630">
        <f>INDEX(DATA!J:J,MATCH(CHARTYEAR&amp;"."&amp;"VISITOR NUMBERS"&amp;"."&amp;$E51,DATA!$C:$C,0))</f>
        <v>38.950527450751707</v>
      </c>
      <c r="I51" s="630">
        <f>INDEX(DATA!K:K,MATCH(CHARTYEAR&amp;"."&amp;"VISITOR NUMBERS"&amp;"."&amp;$E51,DATA!$C:$C,0))</f>
        <v>15.123752660715921</v>
      </c>
      <c r="J51" s="630">
        <f>INDEX(DATA!L:L,MATCH(CHARTYEAR&amp;"."&amp;"VISITOR NUMBERS"&amp;"."&amp;$E51,DATA!$C:$C,0))</f>
        <v>42.353459095965199</v>
      </c>
      <c r="K51" s="630">
        <f>INDEX(DATA!M:M,MATCH(CHARTYEAR&amp;"."&amp;"VISITOR NUMBERS"&amp;"."&amp;$E51,DATA!$C:$C,0))</f>
        <v>27.112282905346177</v>
      </c>
      <c r="L51" s="630">
        <f>INDEX(DATA!N:N,MATCH(CHARTYEAR&amp;"."&amp;"VISITOR NUMBERS"&amp;"."&amp;$E51,DATA!$C:$C,0))</f>
        <v>37.259073303362548</v>
      </c>
      <c r="M51" s="630">
        <f>INDEX(DATA!O:O,MATCH(CHARTYEAR&amp;"."&amp;"VISITOR NUMBERS"&amp;"."&amp;$E51,DATA!$C:$C,0))</f>
        <v>23.115059575662329</v>
      </c>
      <c r="N51" s="630">
        <f>INDEX(DATA!P:P,MATCH(CHARTYEAR&amp;"."&amp;"VISITOR NUMBERS"&amp;"."&amp;$E51,DATA!$C:$C,0))</f>
        <v>11.213001214182736</v>
      </c>
      <c r="O51" s="630">
        <f>INDEX(DATA!Q:Q,MATCH(CHARTYEAR&amp;"."&amp;"VISITOR NUMBERS"&amp;"."&amp;$E51,DATA!$C:$C,0))</f>
        <v>13.887400773211503</v>
      </c>
      <c r="P51" s="630">
        <f>INDEX(DATA!R:R,MATCH(CHARTYEAR&amp;"."&amp;"VISITOR NUMBERS"&amp;"."&amp;$E51,DATA!$C:$C,0))</f>
        <v>11.995541243538414</v>
      </c>
      <c r="Q51" s="630">
        <f>INDEX(DATA!S:S,MATCH(CHARTYEAR&amp;"."&amp;"VISITOR NUMBERS"&amp;"."&amp;$E51,DATA!$C:$C,0))</f>
        <v>8.7463173691004794</v>
      </c>
      <c r="R51" s="630"/>
      <c r="S51" s="636"/>
      <c r="T51" s="634"/>
      <c r="U51" s="636"/>
      <c r="V51" s="636"/>
      <c r="W51" s="628"/>
    </row>
    <row r="52" spans="3:23" ht="16.149999999999999" customHeight="1" x14ac:dyDescent="0.2">
      <c r="C52" s="628"/>
      <c r="D52" s="626"/>
      <c r="E52" s="644" t="str">
        <f t="array" ref="E52:E55">INDEX(TYPE.choices,{2;3;4;6})</f>
        <v>Serviced Accommodation</v>
      </c>
      <c r="F52" s="630">
        <f>INDEX(DATA!H:H,MATCH(CHARTYEAR&amp;"."&amp;"VISITOR DAYS"&amp;"."&amp;$E52,DATA!$C:$C,0))</f>
        <v>26.493209889332931</v>
      </c>
      <c r="G52" s="630">
        <f>INDEX(DATA!I:I,MATCH(CHARTYEAR&amp;"."&amp;"VISITOR DAYS"&amp;"."&amp;$E52,DATA!$C:$C,0))</f>
        <v>26.635927358402544</v>
      </c>
      <c r="H52" s="630">
        <f>INDEX(DATA!J:J,MATCH(CHARTYEAR&amp;"."&amp;"VISITOR DAYS"&amp;"."&amp;$E52,DATA!$C:$C,0))</f>
        <v>40.612240945059582</v>
      </c>
      <c r="I52" s="630">
        <f>INDEX(DATA!K:K,MATCH(CHARTYEAR&amp;"."&amp;"VISITOR DAYS"&amp;"."&amp;$E52,DATA!$C:$C,0))</f>
        <v>34.247705816039897</v>
      </c>
      <c r="J52" s="630">
        <f>INDEX(DATA!L:L,MATCH(CHARTYEAR&amp;"."&amp;"VISITOR DAYS"&amp;"."&amp;$E52,DATA!$C:$C,0))</f>
        <v>37.127382266211796</v>
      </c>
      <c r="K52" s="630">
        <f>INDEX(DATA!M:M,MATCH(CHARTYEAR&amp;"."&amp;"VISITOR DAYS"&amp;"."&amp;$E52,DATA!$C:$C,0))</f>
        <v>44.267124546335999</v>
      </c>
      <c r="L52" s="630">
        <f>INDEX(DATA!N:N,MATCH(CHARTYEAR&amp;"."&amp;"VISITOR DAYS"&amp;"."&amp;$E52,DATA!$C:$C,0))</f>
        <v>56.687373028025732</v>
      </c>
      <c r="M52" s="630">
        <f>INDEX(DATA!O:O,MATCH(CHARTYEAR&amp;"."&amp;"VISITOR DAYS"&amp;"."&amp;$E52,DATA!$C:$C,0))</f>
        <v>54.312259044309357</v>
      </c>
      <c r="N52" s="637">
        <f>INDEX(DATA!P:P,MATCH(CHARTYEAR&amp;"."&amp;"VISITOR DAYS"&amp;"."&amp;$E52,DATA!$C:$C,0))</f>
        <v>45.763696549087356</v>
      </c>
      <c r="O52" s="637">
        <f>INDEX(DATA!Q:Q,MATCH(CHARTYEAR&amp;"."&amp;"VISITOR DAYS"&amp;"."&amp;$E52,DATA!$C:$C,0))</f>
        <v>37.205943855795454</v>
      </c>
      <c r="P52" s="637">
        <f>INDEX(DATA!R:R,MATCH(CHARTYEAR&amp;"."&amp;"VISITOR DAYS"&amp;"."&amp;$E52,DATA!$C:$C,0))</f>
        <v>19.927825971620202</v>
      </c>
      <c r="Q52" s="637">
        <f>INDEX(DATA!S:S,MATCH(CHARTYEAR&amp;"."&amp;"VISITOR DAYS"&amp;"."&amp;$E52,DATA!$C:$C,0))</f>
        <v>14.188997747646642</v>
      </c>
      <c r="R52" s="632"/>
      <c r="S52" s="636"/>
      <c r="T52" s="634"/>
      <c r="U52" s="636"/>
      <c r="V52" s="636"/>
      <c r="W52" s="628"/>
    </row>
    <row r="53" spans="3:23" ht="16.149999999999999" customHeight="1" x14ac:dyDescent="0.2">
      <c r="C53" s="628"/>
      <c r="D53" s="626"/>
      <c r="E53" s="644" t="str">
        <v>Non-Serviced Accommodation</v>
      </c>
      <c r="F53" s="630">
        <f>INDEX(DATA!H:H,MATCH(CHARTYEAR&amp;"."&amp;"VISITOR DAYS"&amp;"."&amp;$E53,DATA!$C:$C,0))</f>
        <v>4.2165333333333335</v>
      </c>
      <c r="G53" s="630">
        <f>INDEX(DATA!I:I,MATCH(CHARTYEAR&amp;"."&amp;"VISITOR DAYS"&amp;"."&amp;$E53,DATA!$C:$C,0))</f>
        <v>6.8237500000000004</v>
      </c>
      <c r="H53" s="630">
        <f>INDEX(DATA!J:J,MATCH(CHARTYEAR&amp;"."&amp;"VISITOR DAYS"&amp;"."&amp;$E53,DATA!$C:$C,0))</f>
        <v>17.846783783783785</v>
      </c>
      <c r="I53" s="630">
        <f>INDEX(DATA!K:K,MATCH(CHARTYEAR&amp;"."&amp;"VISITOR DAYS"&amp;"."&amp;$E53,DATA!$C:$C,0))</f>
        <v>52.937522182818725</v>
      </c>
      <c r="J53" s="630">
        <f>INDEX(DATA!L:L,MATCH(CHARTYEAR&amp;"."&amp;"VISITOR DAYS"&amp;"."&amp;$E53,DATA!$C:$C,0))</f>
        <v>62.171367745324538</v>
      </c>
      <c r="K53" s="630">
        <f>INDEX(DATA!M:M,MATCH(CHARTYEAR&amp;"."&amp;"VISITOR DAYS"&amp;"."&amp;$E53,DATA!$C:$C,0))</f>
        <v>66.193307989343126</v>
      </c>
      <c r="L53" s="630">
        <f>INDEX(DATA!N:N,MATCH(CHARTYEAR&amp;"."&amp;"VISITOR DAYS"&amp;"."&amp;$E53,DATA!$C:$C,0))</f>
        <v>86.227985037245929</v>
      </c>
      <c r="M53" s="630">
        <f>INDEX(DATA!O:O,MATCH(CHARTYEAR&amp;"."&amp;"VISITOR DAYS"&amp;"."&amp;$E53,DATA!$C:$C,0))</f>
        <v>85.965880140657873</v>
      </c>
      <c r="N53" s="637">
        <f>INDEX(DATA!P:P,MATCH(CHARTYEAR&amp;"."&amp;"VISITOR DAYS"&amp;"."&amp;$E53,DATA!$C:$C,0))</f>
        <v>58.899624351254133</v>
      </c>
      <c r="O53" s="637">
        <f>INDEX(DATA!Q:Q,MATCH(CHARTYEAR&amp;"."&amp;"VISITOR DAYS"&amp;"."&amp;$E53,DATA!$C:$C,0))</f>
        <v>41.72628188479969</v>
      </c>
      <c r="P53" s="637">
        <f>INDEX(DATA!R:R,MATCH(CHARTYEAR&amp;"."&amp;"VISITOR DAYS"&amp;"."&amp;$E53,DATA!$C:$C,0))</f>
        <v>8.9840154440154443</v>
      </c>
      <c r="Q53" s="637">
        <f>INDEX(DATA!S:S,MATCH(CHARTYEAR&amp;"."&amp;"VISITOR DAYS"&amp;"."&amp;$E53,DATA!$C:$C,0))</f>
        <v>6.2370909090909086</v>
      </c>
      <c r="R53" s="632"/>
      <c r="S53" s="636"/>
      <c r="T53" s="634"/>
      <c r="U53" s="636"/>
      <c r="V53" s="636"/>
      <c r="W53" s="628"/>
    </row>
    <row r="54" spans="3:23" ht="16.149999999999999" customHeight="1" x14ac:dyDescent="0.2">
      <c r="C54" s="628"/>
      <c r="D54" s="626"/>
      <c r="E54" s="645" t="str">
        <v>SFR</v>
      </c>
      <c r="F54" s="630">
        <f>INDEX(DATA!H:H,MATCH(CHARTYEAR&amp;"."&amp;"VISITOR DAYS"&amp;"."&amp;$E54,DATA!$C:$C,0))</f>
        <v>37.804869347780915</v>
      </c>
      <c r="G54" s="630">
        <f>INDEX(DATA!I:I,MATCH(CHARTYEAR&amp;"."&amp;"VISITOR DAYS"&amp;"."&amp;$E54,DATA!$C:$C,0))</f>
        <v>21.450503079122022</v>
      </c>
      <c r="H54" s="630">
        <f>INDEX(DATA!J:J,MATCH(CHARTYEAR&amp;"."&amp;"VISITOR DAYS"&amp;"."&amp;$E54,DATA!$C:$C,0))</f>
        <v>30.106075699343776</v>
      </c>
      <c r="I54" s="630">
        <f>INDEX(DATA!K:K,MATCH(CHARTYEAR&amp;"."&amp;"VISITOR DAYS"&amp;"."&amp;$E54,DATA!$C:$C,0))</f>
        <v>45.208218778105177</v>
      </c>
      <c r="J54" s="630">
        <f>INDEX(DATA!L:L,MATCH(CHARTYEAR&amp;"."&amp;"VISITOR DAYS"&amp;"."&amp;$E54,DATA!$C:$C,0))</f>
        <v>35.040967939366318</v>
      </c>
      <c r="K54" s="630">
        <f>INDEX(DATA!M:M,MATCH(CHARTYEAR&amp;"."&amp;"VISITOR DAYS"&amp;"."&amp;$E54,DATA!$C:$C,0))</f>
        <v>47.931928893537759</v>
      </c>
      <c r="L54" s="630">
        <f>INDEX(DATA!N:N,MATCH(CHARTYEAR&amp;"."&amp;"VISITOR DAYS"&amp;"."&amp;$E54,DATA!$C:$C,0))</f>
        <v>53.495950900763098</v>
      </c>
      <c r="M54" s="630">
        <f>INDEX(DATA!O:O,MATCH(CHARTYEAR&amp;"."&amp;"VISITOR DAYS"&amp;"."&amp;$E54,DATA!$C:$C,0))</f>
        <v>93.958301511508054</v>
      </c>
      <c r="N54" s="637">
        <f>INDEX(DATA!P:P,MATCH(CHARTYEAR&amp;"."&amp;"VISITOR DAYS"&amp;"."&amp;$E54,DATA!$C:$C,0))</f>
        <v>38.17315217481945</v>
      </c>
      <c r="O54" s="637">
        <f>INDEX(DATA!Q:Q,MATCH(CHARTYEAR&amp;"."&amp;"VISITOR DAYS"&amp;"."&amp;$E54,DATA!$C:$C,0))</f>
        <v>31.483771325358095</v>
      </c>
      <c r="P54" s="637">
        <f>INDEX(DATA!R:R,MATCH(CHARTYEAR&amp;"."&amp;"VISITOR DAYS"&amp;"."&amp;$E54,DATA!$C:$C,0))</f>
        <v>26.935377197695288</v>
      </c>
      <c r="Q54" s="637">
        <f>INDEX(DATA!S:S,MATCH(CHARTYEAR&amp;"."&amp;"VISITOR DAYS"&amp;"."&amp;$E54,DATA!$C:$C,0))</f>
        <v>62.532119755068038</v>
      </c>
      <c r="R54" s="632"/>
      <c r="S54" s="628"/>
      <c r="T54" s="628"/>
      <c r="U54" s="628"/>
      <c r="V54" s="628"/>
      <c r="W54" s="628"/>
    </row>
    <row r="55" spans="3:23" ht="16.149999999999999" customHeight="1" x14ac:dyDescent="0.2">
      <c r="C55" s="628"/>
      <c r="D55" s="626"/>
      <c r="E55" s="644" t="str">
        <v>Day Visitor</v>
      </c>
      <c r="F55" s="630">
        <f>INDEX(DATA!H:H,MATCH(CHARTYEAR&amp;"."&amp;"VISITOR DAYS"&amp;"."&amp;$E55,DATA!$C:$C,0))</f>
        <v>23.611870012385737</v>
      </c>
      <c r="G55" s="630">
        <f>INDEX(DATA!I:I,MATCH(CHARTYEAR&amp;"."&amp;"VISITOR DAYS"&amp;"."&amp;$E55,DATA!$C:$C,0))</f>
        <v>35.81456127839084</v>
      </c>
      <c r="H55" s="630">
        <f>INDEX(DATA!J:J,MATCH(CHARTYEAR&amp;"."&amp;"VISITOR DAYS"&amp;"."&amp;$E55,DATA!$C:$C,0))</f>
        <v>38.950527450751707</v>
      </c>
      <c r="I55" s="630">
        <f>INDEX(DATA!K:K,MATCH(CHARTYEAR&amp;"."&amp;"VISITOR DAYS"&amp;"."&amp;$E55,DATA!$C:$C,0))</f>
        <v>15.123752660715921</v>
      </c>
      <c r="J55" s="630">
        <f>INDEX(DATA!L:L,MATCH(CHARTYEAR&amp;"."&amp;"VISITOR DAYS"&amp;"."&amp;$E55,DATA!$C:$C,0))</f>
        <v>42.353459095965199</v>
      </c>
      <c r="K55" s="630">
        <f>INDEX(DATA!M:M,MATCH(CHARTYEAR&amp;"."&amp;"VISITOR DAYS"&amp;"."&amp;$E55,DATA!$C:$C,0))</f>
        <v>27.112282905346177</v>
      </c>
      <c r="L55" s="630">
        <f>INDEX(DATA!N:N,MATCH(CHARTYEAR&amp;"."&amp;"VISITOR DAYS"&amp;"."&amp;$E55,DATA!$C:$C,0))</f>
        <v>37.259073303362548</v>
      </c>
      <c r="M55" s="630">
        <f>INDEX(DATA!O:O,MATCH(CHARTYEAR&amp;"."&amp;"VISITOR DAYS"&amp;"."&amp;$E55,DATA!$C:$C,0))</f>
        <v>23.115059575662329</v>
      </c>
      <c r="N55" s="637">
        <f>INDEX(DATA!P:P,MATCH(CHARTYEAR&amp;"."&amp;"VISITOR DAYS"&amp;"."&amp;$E55,DATA!$C:$C,0))</f>
        <v>11.213001214182736</v>
      </c>
      <c r="O55" s="637">
        <f>INDEX(DATA!Q:Q,MATCH(CHARTYEAR&amp;"."&amp;"VISITOR DAYS"&amp;"."&amp;$E55,DATA!$C:$C,0))</f>
        <v>13.887400773211503</v>
      </c>
      <c r="P55" s="637">
        <f>INDEX(DATA!R:R,MATCH(CHARTYEAR&amp;"."&amp;"VISITOR DAYS"&amp;"."&amp;$E55,DATA!$C:$C,0))</f>
        <v>11.995541243538414</v>
      </c>
      <c r="Q55" s="637">
        <f>INDEX(DATA!S:S,MATCH(CHARTYEAR&amp;"."&amp;"VISITOR DAYS"&amp;"."&amp;$E55,DATA!$C:$C,0))</f>
        <v>8.7463173691004794</v>
      </c>
      <c r="R55" s="632"/>
      <c r="S55" s="631"/>
      <c r="T55" s="631"/>
      <c r="U55" s="631"/>
      <c r="V55" s="631"/>
      <c r="W55" s="628"/>
    </row>
    <row r="56" spans="3:23" ht="16.149999999999999" customHeight="1" x14ac:dyDescent="0.2">
      <c r="C56" s="628"/>
      <c r="D56" s="626"/>
      <c r="E56" s="644" t="str">
        <f t="array" ref="E56:E59">INDEX(TYPE.choices,{2;3;4;6})</f>
        <v>Serviced Accommodation</v>
      </c>
      <c r="F56" s="638">
        <f>INDEX(DATA!H:H,MATCH(CHARTYEAR&amp;"."&amp;"EMPLOYMENT"&amp;"."&amp;$E56,DATA!$C:$C,0))</f>
        <v>1367.6948562088114</v>
      </c>
      <c r="G56" s="638">
        <f>INDEX(DATA!I:I,MATCH(CHARTYEAR&amp;"."&amp;"EMPLOYMENT"&amp;"."&amp;$E56,DATA!$C:$C,0))</f>
        <v>1337.8107074156981</v>
      </c>
      <c r="H56" s="638">
        <f>INDEX(DATA!J:J,MATCH(CHARTYEAR&amp;"."&amp;"EMPLOYMENT"&amp;"."&amp;$E56,DATA!$C:$C,0))</f>
        <v>1502.2352227431484</v>
      </c>
      <c r="I56" s="638">
        <f>INDEX(DATA!K:K,MATCH(CHARTYEAR&amp;"."&amp;"EMPLOYMENT"&amp;"."&amp;$E56,DATA!$C:$C,0))</f>
        <v>1279.4682887662739</v>
      </c>
      <c r="J56" s="638">
        <f>INDEX(DATA!L:L,MATCH(CHARTYEAR&amp;"."&amp;"EMPLOYMENT"&amp;"."&amp;$E56,DATA!$C:$C,0))</f>
        <v>1258.5758280633468</v>
      </c>
      <c r="K56" s="638">
        <f>INDEX(DATA!M:M,MATCH(CHARTYEAR&amp;"."&amp;"EMPLOYMENT"&amp;"."&amp;$E56,DATA!$C:$C,0))</f>
        <v>1335.0558898308334</v>
      </c>
      <c r="L56" s="638">
        <f>INDEX(DATA!N:N,MATCH(CHARTYEAR&amp;"."&amp;"EMPLOYMENT"&amp;"."&amp;$E56,DATA!$C:$C,0))</f>
        <v>1761.8029765967999</v>
      </c>
      <c r="M56" s="638">
        <f>INDEX(DATA!O:O,MATCH(CHARTYEAR&amp;"."&amp;"EMPLOYMENT"&amp;"."&amp;$E56,DATA!$C:$C,0))</f>
        <v>1602.4041763413579</v>
      </c>
      <c r="N56" s="638">
        <f>INDEX(DATA!P:P,MATCH(CHARTYEAR&amp;"."&amp;"EMPLOYMENT"&amp;"."&amp;$E56,DATA!$C:$C,0))</f>
        <v>1414.4125156519601</v>
      </c>
      <c r="O56" s="638">
        <f>INDEX(DATA!Q:Q,MATCH(CHARTYEAR&amp;"."&amp;"EMPLOYMENT"&amp;"."&amp;$E56,DATA!$C:$C,0))</f>
        <v>1322.3942161153807</v>
      </c>
      <c r="P56" s="638">
        <f>INDEX(DATA!R:R,MATCH(CHARTYEAR&amp;"."&amp;"EMPLOYMENT"&amp;"."&amp;$E56,DATA!$C:$C,0))</f>
        <v>1191.5660085062718</v>
      </c>
      <c r="Q56" s="638">
        <f>INDEX(DATA!S:S,MATCH(CHARTYEAR&amp;"."&amp;"EMPLOYMENT"&amp;"."&amp;$E56,DATA!$C:$C,0))</f>
        <v>1123.0741672548318</v>
      </c>
      <c r="R56" s="632"/>
      <c r="S56" s="632"/>
      <c r="T56" s="632"/>
      <c r="U56" s="632"/>
      <c r="V56" s="628"/>
      <c r="W56" s="628"/>
    </row>
    <row r="57" spans="3:23" ht="16.149999999999999" customHeight="1" x14ac:dyDescent="0.2">
      <c r="C57" s="628"/>
      <c r="D57" s="626"/>
      <c r="E57" s="644" t="str">
        <v>Non-Serviced Accommodation</v>
      </c>
      <c r="F57" s="638">
        <f>INDEX(DATA!H:H,MATCH(CHARTYEAR&amp;"."&amp;"EMPLOYMENT"&amp;"."&amp;$E57,DATA!$C:$C,0))</f>
        <v>352.01609061270989</v>
      </c>
      <c r="G57" s="638">
        <f>INDEX(DATA!I:I,MATCH(CHARTYEAR&amp;"."&amp;"EMPLOYMENT"&amp;"."&amp;$E57,DATA!$C:$C,0))</f>
        <v>355.44602160980878</v>
      </c>
      <c r="H57" s="638">
        <f>INDEX(DATA!J:J,MATCH(CHARTYEAR&amp;"."&amp;"EMPLOYMENT"&amp;"."&amp;$E57,DATA!$C:$C,0))</f>
        <v>398.43835267529676</v>
      </c>
      <c r="I57" s="638">
        <f>INDEX(DATA!K:K,MATCH(CHARTYEAR&amp;"."&amp;"EMPLOYMENT"&amp;"."&amp;$E57,DATA!$C:$C,0))</f>
        <v>596.56961388928926</v>
      </c>
      <c r="J57" s="638">
        <f>INDEX(DATA!L:L,MATCH(CHARTYEAR&amp;"."&amp;"EMPLOYMENT"&amp;"."&amp;$E57,DATA!$C:$C,0))</f>
        <v>668.78098885702889</v>
      </c>
      <c r="K57" s="638">
        <f>INDEX(DATA!M:M,MATCH(CHARTYEAR&amp;"."&amp;"EMPLOYMENT"&amp;"."&amp;$E57,DATA!$C:$C,0))</f>
        <v>696.78819745378473</v>
      </c>
      <c r="L57" s="638">
        <f>INDEX(DATA!N:N,MATCH(CHARTYEAR&amp;"."&amp;"EMPLOYMENT"&amp;"."&amp;$E57,DATA!$C:$C,0))</f>
        <v>743.90414640869267</v>
      </c>
      <c r="M57" s="638">
        <f>INDEX(DATA!O:O,MATCH(CHARTYEAR&amp;"."&amp;"EMPLOYMENT"&amp;"."&amp;$E57,DATA!$C:$C,0))</f>
        <v>739.78819945730652</v>
      </c>
      <c r="N57" s="638">
        <f>INDEX(DATA!P:P,MATCH(CHARTYEAR&amp;"."&amp;"EMPLOYMENT"&amp;"."&amp;$E57,DATA!$C:$C,0))</f>
        <v>615.23583569302991</v>
      </c>
      <c r="O57" s="638">
        <f>INDEX(DATA!Q:Q,MATCH(CHARTYEAR&amp;"."&amp;"EMPLOYMENT"&amp;"."&amp;$E57,DATA!$C:$C,0))</f>
        <v>577.72973326466911</v>
      </c>
      <c r="P57" s="638">
        <f>INDEX(DATA!R:R,MATCH(CHARTYEAR&amp;"."&amp;"EMPLOYMENT"&amp;"."&amp;$E57,DATA!$C:$C,0))</f>
        <v>374.01645188185853</v>
      </c>
      <c r="Q57" s="638">
        <f>INDEX(DATA!S:S,MATCH(CHARTYEAR&amp;"."&amp;"EMPLOYMENT"&amp;"."&amp;$E57,DATA!$C:$C,0))</f>
        <v>363.50076547593119</v>
      </c>
      <c r="R57" s="639"/>
      <c r="S57" s="639"/>
      <c r="T57" s="639"/>
      <c r="U57" s="639"/>
      <c r="V57" s="628"/>
      <c r="W57" s="628"/>
    </row>
    <row r="58" spans="3:23" ht="16.149999999999999" customHeight="1" x14ac:dyDescent="0.2">
      <c r="C58" s="628"/>
      <c r="D58" s="626"/>
      <c r="E58" s="645" t="str">
        <v>SFR</v>
      </c>
      <c r="F58" s="638">
        <f>INDEX(DATA!H:H,MATCH(CHARTYEAR&amp;"."&amp;"EMPLOYMENT"&amp;"."&amp;$E58,DATA!$C:$C,0))</f>
        <v>204.62559170729648</v>
      </c>
      <c r="G58" s="638">
        <f>INDEX(DATA!I:I,MATCH(CHARTYEAR&amp;"."&amp;"EMPLOYMENT"&amp;"."&amp;$E58,DATA!$C:$C,0))</f>
        <v>116.10467013139339</v>
      </c>
      <c r="H58" s="638">
        <f>INDEX(DATA!J:J,MATCH(CHARTYEAR&amp;"."&amp;"EMPLOYMENT"&amp;"."&amp;$E58,DATA!$C:$C,0))</f>
        <v>162.95449925485565</v>
      </c>
      <c r="I58" s="638">
        <f>INDEX(DATA!K:K,MATCH(CHARTYEAR&amp;"."&amp;"EMPLOYMENT"&amp;"."&amp;$E58,DATA!$C:$C,0))</f>
        <v>241.26646094814902</v>
      </c>
      <c r="J58" s="638">
        <f>INDEX(DATA!L:L,MATCH(CHARTYEAR&amp;"."&amp;"EMPLOYMENT"&amp;"."&amp;$E58,DATA!$C:$C,0))</f>
        <v>187.00604782559873</v>
      </c>
      <c r="K58" s="638">
        <f>INDEX(DATA!M:M,MATCH(CHARTYEAR&amp;"."&amp;"EMPLOYMENT"&amp;"."&amp;$E58,DATA!$C:$C,0))</f>
        <v>255.80231124175435</v>
      </c>
      <c r="L58" s="638">
        <f>INDEX(DATA!N:N,MATCH(CHARTYEAR&amp;"."&amp;"EMPLOYMENT"&amp;"."&amp;$E58,DATA!$C:$C,0))</f>
        <v>178.80303646906731</v>
      </c>
      <c r="M58" s="638">
        <f>INDEX(DATA!O:O,MATCH(CHARTYEAR&amp;"."&amp;"EMPLOYMENT"&amp;"."&amp;$E58,DATA!$C:$C,0))</f>
        <v>314.04301314128338</v>
      </c>
      <c r="N58" s="638">
        <f>INDEX(DATA!P:P,MATCH(CHARTYEAR&amp;"."&amp;"EMPLOYMENT"&amp;"."&amp;$E58,DATA!$C:$C,0))</f>
        <v>127.58863812169632</v>
      </c>
      <c r="O58" s="638">
        <f>INDEX(DATA!Q:Q,MATCH(CHARTYEAR&amp;"."&amp;"EMPLOYMENT"&amp;"."&amp;$E58,DATA!$C:$C,0))</f>
        <v>116.31422992126599</v>
      </c>
      <c r="P58" s="638">
        <f>INDEX(DATA!R:R,MATCH(CHARTYEAR&amp;"."&amp;"EMPLOYMENT"&amp;"."&amp;$E58,DATA!$C:$C,0))</f>
        <v>99.510558122538441</v>
      </c>
      <c r="Q58" s="638">
        <f>INDEX(DATA!S:S,MATCH(CHARTYEAR&amp;"."&amp;"EMPLOYMENT"&amp;"."&amp;$E58,DATA!$C:$C,0))</f>
        <v>231.01982540436322</v>
      </c>
      <c r="R58" s="634"/>
      <c r="S58" s="634"/>
      <c r="T58" s="634"/>
      <c r="U58" s="634"/>
      <c r="V58" s="628"/>
      <c r="W58" s="628"/>
    </row>
    <row r="59" spans="3:23" ht="16.149999999999999" customHeight="1" x14ac:dyDescent="0.2">
      <c r="C59" s="628"/>
      <c r="D59" s="626"/>
      <c r="E59" s="644" t="str">
        <v>Day Visitor</v>
      </c>
      <c r="F59" s="638">
        <f>INDEX(DATA!H:H,MATCH(CHARTYEAR&amp;"."&amp;"EMPLOYMENT"&amp;"."&amp;$E59,DATA!$C:$C,0))</f>
        <v>210.88652049589081</v>
      </c>
      <c r="G59" s="638">
        <f>INDEX(DATA!I:I,MATCH(CHARTYEAR&amp;"."&amp;"EMPLOYMENT"&amp;"."&amp;$E59,DATA!$C:$C,0))</f>
        <v>319.87336060739113</v>
      </c>
      <c r="H59" s="638">
        <f>INDEX(DATA!J:J,MATCH(CHARTYEAR&amp;"."&amp;"EMPLOYMENT"&amp;"."&amp;$E59,DATA!$C:$C,0))</f>
        <v>347.8818577800036</v>
      </c>
      <c r="I59" s="638">
        <f>INDEX(DATA!K:K,MATCH(CHARTYEAR&amp;"."&amp;"EMPLOYMENT"&amp;"."&amp;$E59,DATA!$C:$C,0))</f>
        <v>93.494948364464108</v>
      </c>
      <c r="J59" s="638">
        <f>INDEX(DATA!L:L,MATCH(CHARTYEAR&amp;"."&amp;"EMPLOYMENT"&amp;"."&amp;$E59,DATA!$C:$C,0))</f>
        <v>261.82883045419101</v>
      </c>
      <c r="K59" s="638">
        <f>INDEX(DATA!M:M,MATCH(CHARTYEAR&amp;"."&amp;"EMPLOYMENT"&amp;"."&amp;$E59,DATA!$C:$C,0))</f>
        <v>167.60797053117699</v>
      </c>
      <c r="L59" s="638">
        <f>INDEX(DATA!N:N,MATCH(CHARTYEAR&amp;"."&amp;"EMPLOYMENT"&amp;"."&amp;$E59,DATA!$C:$C,0))</f>
        <v>273.72142219335228</v>
      </c>
      <c r="M59" s="638">
        <f>INDEX(DATA!O:O,MATCH(CHARTYEAR&amp;"."&amp;"EMPLOYMENT"&amp;"."&amp;$E59,DATA!$C:$C,0))</f>
        <v>169.81332116393116</v>
      </c>
      <c r="N59" s="638">
        <f>INDEX(DATA!P:P,MATCH(CHARTYEAR&amp;"."&amp;"EMPLOYMENT"&amp;"."&amp;$E59,DATA!$C:$C,0))</f>
        <v>82.375603236618673</v>
      </c>
      <c r="O59" s="638">
        <f>INDEX(DATA!Q:Q,MATCH(CHARTYEAR&amp;"."&amp;"EMPLOYMENT"&amp;"."&amp;$E59,DATA!$C:$C,0))</f>
        <v>124.03361640811464</v>
      </c>
      <c r="P59" s="638">
        <f>INDEX(DATA!R:R,MATCH(CHARTYEAR&amp;"."&amp;"EMPLOYMENT"&amp;"."&amp;$E59,DATA!$C:$C,0))</f>
        <v>107.13670509738535</v>
      </c>
      <c r="Q59" s="638">
        <f>INDEX(DATA!S:S,MATCH(CHARTYEAR&amp;"."&amp;"EMPLOYMENT"&amp;"."&amp;$E59,DATA!$C:$C,0))</f>
        <v>78.116660652241507</v>
      </c>
      <c r="R59" s="634"/>
      <c r="S59" s="634"/>
      <c r="T59" s="634"/>
      <c r="U59" s="634"/>
      <c r="V59" s="628"/>
      <c r="W59" s="628"/>
    </row>
    <row r="60" spans="3:23" ht="16.149999999999999" customHeight="1" x14ac:dyDescent="0.2">
      <c r="C60" s="628"/>
      <c r="D60" s="626"/>
      <c r="E60" s="642">
        <f>CHARTYEAR</f>
        <v>2013</v>
      </c>
      <c r="F60" s="646" t="str">
        <f t="array" ref="F60:Q60">{"Jan","Feb","Mar","Apr","May","Jun","Jul","Aug","Sep","Oct","Nov","Dec"}</f>
        <v>Jan</v>
      </c>
      <c r="G60" s="647" t="str">
        <v>Feb</v>
      </c>
      <c r="H60" s="646" t="str">
        <v>Mar</v>
      </c>
      <c r="I60" s="646" t="str">
        <v>Apr</v>
      </c>
      <c r="J60" s="646" t="str">
        <v>May</v>
      </c>
      <c r="K60" s="646" t="str">
        <v>Jun</v>
      </c>
      <c r="L60" s="646" t="str">
        <v>Jul</v>
      </c>
      <c r="M60" s="646" t="str">
        <v>Aug</v>
      </c>
      <c r="N60" s="646" t="str">
        <v>Sep</v>
      </c>
      <c r="O60" s="646" t="str">
        <v>Oct</v>
      </c>
      <c r="P60" s="646" t="str">
        <v>Nov</v>
      </c>
      <c r="Q60" s="646" t="str">
        <v>Dec</v>
      </c>
      <c r="R60" s="634"/>
      <c r="S60" s="634"/>
      <c r="T60" s="634"/>
      <c r="U60" s="634"/>
      <c r="V60" s="628"/>
      <c r="W60" s="628"/>
    </row>
    <row r="61" spans="3:23" ht="16.149999999999999" customHeight="1" x14ac:dyDescent="0.2">
      <c r="C61" s="628"/>
      <c r="D61" s="626"/>
      <c r="E61" s="648" t="s">
        <v>55</v>
      </c>
      <c r="F61" s="640">
        <f>INDEX(DATA!H:H,MATCH(CHARTYEAR&amp;"."&amp;"ECONOMIC IMPACT"&amp;"."&amp;$E61,DATA!$C:$C,0))*INDEX(REP.indexationfactors,(MATCH(CHARTYEAR,REP.yearsrange,0)))/$A$2</f>
        <v>6.2338302262433034</v>
      </c>
      <c r="G61" s="640">
        <f>INDEX(DATA!I:I,MATCH(CHARTYEAR&amp;"."&amp;"ECONOMIC IMPACT"&amp;"."&amp;$E61,DATA!$C:$C,0))*INDEX(REP.indexationfactors,(MATCH(CHARTYEAR,REP.yearsrange,0)))/$A$2</f>
        <v>6.2413558933473858</v>
      </c>
      <c r="H61" s="640">
        <f>INDEX(DATA!J:J,MATCH(CHARTYEAR&amp;"."&amp;"ECONOMIC IMPACT"&amp;"."&amp;$E61,DATA!$C:$C,0))*INDEX(REP.indexationfactors,(MATCH(CHARTYEAR,REP.yearsrange,0)))/$A$2</f>
        <v>8.6094996217212749</v>
      </c>
      <c r="I61" s="640">
        <f>INDEX(DATA!K:K,MATCH(CHARTYEAR&amp;"."&amp;"ECONOMIC IMPACT"&amp;"."&amp;$E61,DATA!$C:$C,0))*INDEX(REP.indexationfactors,(MATCH(CHARTYEAR,REP.yearsrange,0)))/$A$2</f>
        <v>7.4156738235486177</v>
      </c>
      <c r="J61" s="640">
        <f>INDEX(DATA!L:L,MATCH(CHARTYEAR&amp;"."&amp;"ECONOMIC IMPACT"&amp;"."&amp;$E61,DATA!$C:$C,0))*INDEX(REP.indexationfactors,(MATCH(CHARTYEAR,REP.yearsrange,0)))/$A$2</f>
        <v>8.5101151197303331</v>
      </c>
      <c r="K61" s="640">
        <f>INDEX(DATA!M:M,MATCH(CHARTYEAR&amp;"."&amp;"ECONOMIC IMPACT"&amp;"."&amp;$E61,DATA!$C:$C,0))*INDEX(REP.indexationfactors,(MATCH(CHARTYEAR,REP.yearsrange,0)))/$A$2</f>
        <v>9.2817243738731783</v>
      </c>
      <c r="L61" s="640">
        <f>INDEX(DATA!N:N,MATCH(CHARTYEAR&amp;"."&amp;"ECONOMIC IMPACT"&amp;"."&amp;$E61,DATA!$C:$C,0))*INDEX(REP.indexationfactors,(MATCH(CHARTYEAR,REP.yearsrange,0)))/$A$2</f>
        <v>12.86822081705985</v>
      </c>
      <c r="M61" s="640">
        <f>INDEX(DATA!O:O,MATCH(CHARTYEAR&amp;"."&amp;"ECONOMIC IMPACT"&amp;"."&amp;$E61,DATA!$C:$C,0))*INDEX(REP.indexationfactors,(MATCH(CHARTYEAR,REP.yearsrange,0)))/$A$2</f>
        <v>13.017027309419921</v>
      </c>
      <c r="N61" s="640">
        <f>INDEX(DATA!P:P,MATCH(CHARTYEAR&amp;"."&amp;"ECONOMIC IMPACT"&amp;"."&amp;$E61,DATA!$C:$C,0))*INDEX(REP.indexationfactors,(MATCH(CHARTYEAR,REP.yearsrange,0)))/$A$2</f>
        <v>7.9498777227078703</v>
      </c>
      <c r="O61" s="640">
        <f>INDEX(DATA!Q:Q,MATCH(CHARTYEAR&amp;"."&amp;"ECONOMIC IMPACT"&amp;"."&amp;$E61,DATA!$C:$C,0))*INDEX(REP.indexationfactors,(MATCH(CHARTYEAR,REP.yearsrange,0)))/$A$2</f>
        <v>6.8742382368320829</v>
      </c>
      <c r="P61" s="640">
        <f>INDEX(DATA!R:R,MATCH(CHARTYEAR&amp;"."&amp;"ECONOMIC IMPACT"&amp;"."&amp;$E61,DATA!$C:$C,0))*INDEX(REP.indexationfactors,(MATCH(CHARTYEAR,REP.yearsrange,0)))/$A$2</f>
        <v>3.8202491644670995</v>
      </c>
      <c r="Q61" s="640">
        <f>INDEX(DATA!S:S,MATCH(CHARTYEAR&amp;"."&amp;"ECONOMIC IMPACT"&amp;"."&amp;$E61,DATA!$C:$C,0))*INDEX(REP.indexationfactors,(MATCH(CHARTYEAR,REP.yearsrange,0)))/$A$2</f>
        <v>3.8060792318958456</v>
      </c>
      <c r="R61" s="641"/>
      <c r="S61" s="636"/>
      <c r="T61" s="636"/>
      <c r="U61" s="636"/>
      <c r="V61" s="628"/>
      <c r="W61" s="628"/>
    </row>
    <row r="62" spans="3:23" ht="16.149999999999999" customHeight="1" x14ac:dyDescent="0.2">
      <c r="C62" s="628"/>
      <c r="D62" s="626"/>
      <c r="E62" s="648" t="s">
        <v>55</v>
      </c>
      <c r="F62" s="640">
        <f>INDEX(DATA!H:H,MATCH(CHARTYEAR&amp;"."&amp;"VISITOR NUMBERS"&amp;"."&amp;$E62,DATA!$C:$C,0))/$B$2</f>
        <v>45.534002144390641</v>
      </c>
      <c r="G62" s="640">
        <f>INDEX(DATA!I:I,MATCH(CHARTYEAR&amp;"."&amp;"VISITOR NUMBERS"&amp;"."&amp;$E62,DATA!$C:$C,0))/$B$2</f>
        <v>55.541840259774361</v>
      </c>
      <c r="H62" s="640">
        <f>INDEX(DATA!J:J,MATCH(CHARTYEAR&amp;"."&amp;"VISITOR NUMBERS"&amp;"."&amp;$E62,DATA!$C:$C,0))/$B$2</f>
        <v>69.91061103663337</v>
      </c>
      <c r="I62" s="640">
        <f>INDEX(DATA!K:K,MATCH(CHARTYEAR&amp;"."&amp;"VISITOR NUMBERS"&amp;"."&amp;$E62,DATA!$C:$C,0))/$B$2</f>
        <v>49.040168823548939</v>
      </c>
      <c r="J62" s="640">
        <f>INDEX(DATA!L:L,MATCH(CHARTYEAR&amp;"."&amp;"VISITOR NUMBERS"&amp;"."&amp;$E62,DATA!$C:$C,0))/$B$2</f>
        <v>81.48260720964862</v>
      </c>
      <c r="K62" s="640">
        <f>INDEX(DATA!M:M,MATCH(CHARTYEAR&amp;"."&amp;"VISITOR NUMBERS"&amp;"."&amp;$E62,DATA!$C:$C,0))/$B$2</f>
        <v>69.957590719429561</v>
      </c>
      <c r="L62" s="640">
        <f>INDEX(DATA!N:N,MATCH(CHARTYEAR&amp;"."&amp;"VISITOR NUMBERS"&amp;"."&amp;$E62,DATA!$C:$C,0))/$B$2</f>
        <v>86.09518156236679</v>
      </c>
      <c r="M62" s="640">
        <f>INDEX(DATA!O:O,MATCH(CHARTYEAR&amp;"."&amp;"VISITOR NUMBERS"&amp;"."&amp;$E62,DATA!$C:$C,0))/$B$2</f>
        <v>79.173117529132782</v>
      </c>
      <c r="N62" s="640">
        <f>INDEX(DATA!P:P,MATCH(CHARTYEAR&amp;"."&amp;"VISITOR NUMBERS"&amp;"."&amp;$E62,DATA!$C:$C,0))/$B$2</f>
        <v>53.105007666416597</v>
      </c>
      <c r="O62" s="640">
        <f>INDEX(DATA!Q:Q,MATCH(CHARTYEAR&amp;"."&amp;"VISITOR NUMBERS"&amp;"."&amp;$E62,DATA!$C:$C,0))/$B$2</f>
        <v>47.801809956605858</v>
      </c>
      <c r="P62" s="640">
        <f>INDEX(DATA!R:R,MATCH(CHARTYEAR&amp;"."&amp;"VISITOR NUMBERS"&amp;"."&amp;$E62,DATA!$C:$C,0))/$B$2</f>
        <v>31.121190345464456</v>
      </c>
      <c r="Q62" s="640">
        <f>INDEX(DATA!S:S,MATCH(CHARTYEAR&amp;"."&amp;"VISITOR NUMBERS"&amp;"."&amp;$E62,DATA!$C:$C,0))/$B$2</f>
        <v>32.015935223915477</v>
      </c>
      <c r="R62" s="641"/>
      <c r="S62" s="636"/>
      <c r="T62" s="636"/>
      <c r="U62" s="636"/>
      <c r="V62" s="628"/>
      <c r="W62" s="628"/>
    </row>
    <row r="63" spans="3:23" ht="16.149999999999999" customHeight="1" x14ac:dyDescent="0.2">
      <c r="C63" s="628"/>
      <c r="D63" s="626"/>
      <c r="E63" s="648" t="s">
        <v>55</v>
      </c>
      <c r="F63" s="640">
        <f>INDEX(DATA!H:H,MATCH(CHARTYEAR&amp;"."&amp;"VISITOR DAYS"&amp;"."&amp;$E63,DATA!$C:$C,0))/$C$2</f>
        <v>92.126482582832921</v>
      </c>
      <c r="G63" s="640">
        <f>INDEX(DATA!I:I,MATCH(CHARTYEAR&amp;"."&amp;"VISITOR DAYS"&amp;"."&amp;$E63,DATA!$C:$C,0))/$C$2</f>
        <v>90.7247417159154</v>
      </c>
      <c r="H63" s="640">
        <f>INDEX(DATA!J:J,MATCH(CHARTYEAR&amp;"."&amp;"VISITOR DAYS"&amp;"."&amp;$E63,DATA!$C:$C,0))/$C$2</f>
        <v>127.51562787893886</v>
      </c>
      <c r="I63" s="640">
        <f>INDEX(DATA!K:K,MATCH(CHARTYEAR&amp;"."&amp;"VISITOR DAYS"&amp;"."&amp;$E63,DATA!$C:$C,0))/$C$2</f>
        <v>147.51719943767972</v>
      </c>
      <c r="J63" s="640">
        <f>INDEX(DATA!L:L,MATCH(CHARTYEAR&amp;"."&amp;"VISITOR DAYS"&amp;"."&amp;$E63,DATA!$C:$C,0))/$C$2</f>
        <v>176.69317704686785</v>
      </c>
      <c r="K63" s="640">
        <f>INDEX(DATA!M:M,MATCH(CHARTYEAR&amp;"."&amp;"VISITOR DAYS"&amp;"."&amp;$E63,DATA!$C:$C,0))/$C$2</f>
        <v>185.50464433456307</v>
      </c>
      <c r="L63" s="640">
        <f>INDEX(DATA!N:N,MATCH(CHARTYEAR&amp;"."&amp;"VISITOR DAYS"&amp;"."&amp;$E63,DATA!$C:$C,0))/$C$2</f>
        <v>233.67038226939732</v>
      </c>
      <c r="M63" s="640">
        <f>INDEX(DATA!O:O,MATCH(CHARTYEAR&amp;"."&amp;"VISITOR DAYS"&amp;"."&amp;$E63,DATA!$C:$C,0))/$C$2</f>
        <v>257.35150027213763</v>
      </c>
      <c r="N63" s="640">
        <f>INDEX(DATA!P:P,MATCH(CHARTYEAR&amp;"."&amp;"VISITOR DAYS"&amp;"."&amp;$E63,DATA!$C:$C,0))/$C$2</f>
        <v>154.04947428934366</v>
      </c>
      <c r="O63" s="640">
        <f>INDEX(DATA!Q:Q,MATCH(CHARTYEAR&amp;"."&amp;"VISITOR DAYS"&amp;"."&amp;$E63,DATA!$C:$C,0))/$C$2</f>
        <v>124.30339783916475</v>
      </c>
      <c r="P63" s="640">
        <f>INDEX(DATA!R:R,MATCH(CHARTYEAR&amp;"."&amp;"VISITOR DAYS"&amp;"."&amp;$E63,DATA!$C:$C,0))/$C$2</f>
        <v>67.84275985686935</v>
      </c>
      <c r="Q63" s="640">
        <f>INDEX(DATA!S:S,MATCH(CHARTYEAR&amp;"."&amp;"VISITOR DAYS"&amp;"."&amp;$E63,DATA!$C:$C,0))/$C$2</f>
        <v>91.704525780906067</v>
      </c>
      <c r="R63" s="641"/>
      <c r="S63" s="636"/>
      <c r="T63" s="636"/>
      <c r="U63" s="636"/>
      <c r="V63" s="628"/>
      <c r="W63" s="628"/>
    </row>
    <row r="64" spans="3:23" ht="16.149999999999999" customHeight="1" x14ac:dyDescent="0.2">
      <c r="C64" s="628"/>
      <c r="D64" s="626"/>
      <c r="E64" s="648" t="s">
        <v>55</v>
      </c>
      <c r="F64" s="638">
        <f>INDEX(DATA!H:H,MATCH(CHARTYEAR&amp;"."&amp;"EMPLOYMENT"&amp;"."&amp;$E64,DATA!$C:$C,0))</f>
        <v>2434.1865448643398</v>
      </c>
      <c r="G64" s="638">
        <f>INDEX(DATA!I:I,MATCH(CHARTYEAR&amp;"."&amp;"EMPLOYMENT"&amp;"."&amp;$E64,DATA!$C:$C,0))</f>
        <v>2433.7814841928057</v>
      </c>
      <c r="H64" s="638">
        <f>INDEX(DATA!J:J,MATCH(CHARTYEAR&amp;"."&amp;"EMPLOYMENT"&amp;"."&amp;$E64,DATA!$C:$C,0))</f>
        <v>2831.9057669080526</v>
      </c>
      <c r="I64" s="638">
        <f>INDEX(DATA!K:K,MATCH(CHARTYEAR&amp;"."&amp;"EMPLOYMENT"&amp;"."&amp;$E64,DATA!$C:$C,0))</f>
        <v>2586.3551785588475</v>
      </c>
      <c r="J64" s="638">
        <f>INDEX(DATA!L:L,MATCH(CHARTYEAR&amp;"."&amp;"EMPLOYMENT"&amp;"."&amp;$E64,DATA!$C:$C,0))</f>
        <v>2811.9117774156166</v>
      </c>
      <c r="K64" s="638">
        <f>INDEX(DATA!M:M,MATCH(CHARTYEAR&amp;"."&amp;"EMPLOYMENT"&amp;"."&amp;$E64,DATA!$C:$C,0))</f>
        <v>2923.2971270382</v>
      </c>
      <c r="L64" s="638">
        <f>INDEX(DATA!N:N,MATCH(CHARTYEAR&amp;"."&amp;"EMPLOYMENT"&amp;"."&amp;$E64,DATA!$C:$C,0))</f>
        <v>3603.3315478399445</v>
      </c>
      <c r="M64" s="638">
        <f>INDEX(DATA!O:O,MATCH(CHARTYEAR&amp;"."&amp;"EMPLOYMENT"&amp;"."&amp;$E64,DATA!$C:$C,0))</f>
        <v>3477.0345830993697</v>
      </c>
      <c r="N64" s="638">
        <f>INDEX(DATA!P:P,MATCH(CHARTYEAR&amp;"."&amp;"EMPLOYMENT"&amp;"."&amp;$E64,DATA!$C:$C,0))</f>
        <v>2636.0212147085804</v>
      </c>
      <c r="O64" s="638">
        <f>INDEX(DATA!Q:Q,MATCH(CHARTYEAR&amp;"."&amp;"EMPLOYMENT"&amp;"."&amp;$E64,DATA!$C:$C,0))</f>
        <v>2485.4186628589359</v>
      </c>
      <c r="P64" s="638">
        <f>INDEX(DATA!R:R,MATCH(CHARTYEAR&amp;"."&amp;"EMPLOYMENT"&amp;"."&amp;$E64,DATA!$C:$C,0))</f>
        <v>1958.7486068837238</v>
      </c>
      <c r="Q64" s="638">
        <f>INDEX(DATA!S:S,MATCH(CHARTYEAR&amp;"."&amp;"EMPLOYMENT"&amp;"."&amp;$E64,DATA!$C:$C,0))</f>
        <v>1982.9832128804564</v>
      </c>
      <c r="R64" s="632"/>
      <c r="S64" s="636"/>
      <c r="T64" s="636"/>
      <c r="U64" s="636"/>
      <c r="V64" s="628"/>
      <c r="W64" s="628"/>
    </row>
    <row r="65" spans="3:23" ht="16.149999999999999" customHeight="1" x14ac:dyDescent="0.2">
      <c r="C65" s="628"/>
      <c r="D65" s="626"/>
      <c r="E65" s="628"/>
      <c r="F65" s="628"/>
      <c r="G65" s="628"/>
      <c r="H65" s="628"/>
      <c r="I65" s="628"/>
      <c r="J65" s="628"/>
      <c r="K65" s="628"/>
      <c r="L65" s="628"/>
      <c r="M65" s="628"/>
      <c r="N65" s="628"/>
      <c r="O65" s="628"/>
      <c r="P65" s="628"/>
      <c r="Q65" s="628"/>
      <c r="R65" s="628"/>
      <c r="S65" s="628"/>
      <c r="T65" s="628"/>
      <c r="U65" s="628"/>
      <c r="V65" s="628"/>
      <c r="W65" s="628"/>
    </row>
    <row r="66" spans="3:23" ht="16.149999999999999" customHeight="1" x14ac:dyDescent="0.2">
      <c r="C66" s="628"/>
      <c r="D66" s="626"/>
      <c r="E66" s="628"/>
      <c r="F66" s="628"/>
      <c r="G66" s="628"/>
      <c r="H66" s="628"/>
      <c r="I66" s="628"/>
      <c r="J66" s="628"/>
      <c r="K66" s="628"/>
      <c r="L66" s="628"/>
      <c r="M66" s="628"/>
      <c r="N66" s="628"/>
      <c r="O66" s="628"/>
      <c r="P66" s="628"/>
      <c r="Q66" s="628"/>
      <c r="R66" s="628"/>
      <c r="S66" s="628"/>
      <c r="T66" s="628"/>
      <c r="U66" s="628"/>
      <c r="V66" s="628"/>
      <c r="W66" s="628"/>
    </row>
    <row r="67" spans="3:23" ht="16.149999999999999" customHeight="1" x14ac:dyDescent="0.2">
      <c r="C67" s="628"/>
      <c r="D67" s="626"/>
      <c r="E67" s="628"/>
      <c r="F67" s="628"/>
      <c r="G67" s="628"/>
      <c r="H67" s="628"/>
      <c r="I67" s="628"/>
      <c r="J67" s="628"/>
      <c r="K67" s="628"/>
      <c r="L67" s="628"/>
      <c r="M67" s="628"/>
      <c r="N67" s="628"/>
      <c r="O67" s="628"/>
      <c r="P67" s="628"/>
      <c r="Q67" s="628"/>
      <c r="R67" s="628"/>
      <c r="S67" s="628"/>
      <c r="T67" s="628"/>
      <c r="U67" s="628"/>
      <c r="V67" s="628"/>
      <c r="W67" s="628"/>
    </row>
    <row r="68" spans="3:23" ht="16.149999999999999" customHeight="1" x14ac:dyDescent="0.2">
      <c r="C68" s="628"/>
      <c r="D68" s="626"/>
      <c r="E68" s="628"/>
      <c r="F68" s="628"/>
      <c r="G68" s="628"/>
      <c r="H68" s="628"/>
      <c r="I68" s="628"/>
      <c r="J68" s="628"/>
      <c r="K68" s="628"/>
      <c r="L68" s="628"/>
      <c r="M68" s="628"/>
      <c r="N68" s="628"/>
      <c r="O68" s="628"/>
      <c r="P68" s="628"/>
      <c r="Q68" s="628"/>
      <c r="R68" s="628"/>
      <c r="S68" s="628"/>
      <c r="T68" s="628"/>
      <c r="U68" s="628"/>
      <c r="V68" s="628"/>
      <c r="W68" s="628"/>
    </row>
    <row r="69" spans="3:23" ht="16.149999999999999" customHeight="1" x14ac:dyDescent="0.2">
      <c r="C69" s="628"/>
      <c r="D69" s="626"/>
      <c r="E69" s="628"/>
      <c r="F69" s="628"/>
      <c r="G69" s="628"/>
      <c r="H69" s="628"/>
      <c r="I69" s="628"/>
      <c r="J69" s="628"/>
      <c r="K69" s="628"/>
      <c r="L69" s="628"/>
      <c r="M69" s="628"/>
      <c r="N69" s="628"/>
      <c r="O69" s="628"/>
      <c r="P69" s="628"/>
      <c r="Q69" s="628"/>
      <c r="R69" s="628"/>
      <c r="S69" s="628"/>
      <c r="T69" s="628"/>
      <c r="U69" s="628"/>
      <c r="V69" s="628"/>
      <c r="W69" s="628"/>
    </row>
    <row r="70" spans="3:23" ht="16.149999999999999" customHeight="1" x14ac:dyDescent="0.2">
      <c r="C70" s="628"/>
      <c r="D70" s="626"/>
      <c r="E70" s="628"/>
      <c r="F70" s="628"/>
      <c r="G70" s="628" t="s">
        <v>44</v>
      </c>
      <c r="H70" s="628" t="s">
        <v>44</v>
      </c>
      <c r="I70" s="628"/>
      <c r="J70" s="628" t="s">
        <v>49</v>
      </c>
      <c r="K70" s="628" t="s">
        <v>49</v>
      </c>
      <c r="L70" s="628"/>
      <c r="M70" s="628" t="s">
        <v>19</v>
      </c>
      <c r="N70" s="628" t="s">
        <v>19</v>
      </c>
      <c r="O70" s="628"/>
      <c r="P70" s="628" t="s">
        <v>97</v>
      </c>
      <c r="Q70" s="628"/>
      <c r="R70" s="628"/>
      <c r="S70" s="628" t="s">
        <v>73</v>
      </c>
      <c r="T70" s="628" t="s">
        <v>73</v>
      </c>
      <c r="U70" s="628"/>
      <c r="V70" s="628" t="s">
        <v>55</v>
      </c>
      <c r="W70" s="628" t="s">
        <v>55</v>
      </c>
    </row>
    <row r="71" spans="3:23" ht="16.149999999999999" customHeight="1" x14ac:dyDescent="0.2">
      <c r="C71" s="628"/>
      <c r="D71" s="626"/>
      <c r="E71" s="628"/>
      <c r="F71" s="628"/>
      <c r="G71" s="628"/>
      <c r="H71" s="628"/>
      <c r="I71" s="628"/>
      <c r="J71" s="628"/>
      <c r="K71" s="628"/>
      <c r="L71" s="628"/>
      <c r="M71" s="628"/>
      <c r="N71" s="628"/>
      <c r="O71" s="628"/>
      <c r="P71" s="628"/>
      <c r="Q71" s="628"/>
      <c r="R71" s="628"/>
      <c r="S71" s="628"/>
      <c r="T71" s="628"/>
      <c r="U71" s="628"/>
      <c r="V71" s="628"/>
      <c r="W71" s="628"/>
    </row>
  </sheetData>
  <sheetProtection algorithmName="SHA-512" hashValue="2uJ+rM0ifgFVirq3RxJ2T7upjqxx9jYI0Ey46E3TiFiTAC+bAl0duuoTP2TQrlPLx/pJHULWFzigFA2oGI0G/A==" saltValue="pujNcZpvdYqM187z6jUPlQ==" spinCount="100000" sheet="1" objects="1" scenarios="1"/>
  <mergeCells count="8">
    <mergeCell ref="E23:N23"/>
    <mergeCell ref="O23:X23"/>
    <mergeCell ref="O6:R6"/>
    <mergeCell ref="S6:T7"/>
    <mergeCell ref="U6:X7"/>
    <mergeCell ref="O7:R7"/>
    <mergeCell ref="E8:N8"/>
    <mergeCell ref="O8:X8"/>
  </mergeCells>
  <conditionalFormatting sqref="F61:R62">
    <cfRule type="expression" dxfId="167" priority="3">
      <formula>AVERAGE($F61:$Q61)&gt;2500</formula>
    </cfRule>
  </conditionalFormatting>
  <conditionalFormatting sqref="AA29">
    <cfRule type="expression" dxfId="166" priority="2">
      <formula>AA29&gt;2500</formula>
    </cfRule>
  </conditionalFormatting>
  <conditionalFormatting sqref="AB29:AB31">
    <cfRule type="expression" dxfId="165" priority="1">
      <formula>AB29&gt;2500</formula>
    </cfRule>
  </conditionalFormatting>
  <printOptions horizontalCentered="1" verticalCentered="1"/>
  <pageMargins left="0.70866141732283472" right="0.70866141732283472" top="0.74803149606299213" bottom="0.74803149606299213" header="0.31496062992125984" footer="0.31496062992125984"/>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Drop Down 1">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89442" r:id="rId5" name="Drop Down 2">
              <controlPr defaultSize="0" autoLine="0" autoPict="0">
                <anchor moveWithCells="1">
                  <from>
                    <xdr:col>5</xdr:col>
                    <xdr:colOff>333375</xdr:colOff>
                    <xdr:row>4</xdr:row>
                    <xdr:rowOff>19050</xdr:rowOff>
                  </from>
                  <to>
                    <xdr:col>7</xdr:col>
                    <xdr:colOff>200025</xdr:colOff>
                    <xdr:row>4</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3">
    <tabColor theme="4"/>
    <outlinePr showOutlineSymbols="0"/>
    <pageSetUpPr autoPageBreaks="0" fitToPage="1"/>
  </sheetPr>
  <dimension ref="A1:AI70"/>
  <sheetViews>
    <sheetView showGridLines="0" showRowColHeaders="0" showZeros="0" showOutlineSymbols="0" topLeftCell="A2" zoomScaleNormal="100" workbookViewId="0">
      <pane ySplit="6" topLeftCell="A8" activePane="bottomLeft" state="frozen"/>
      <selection activeCell="E10" sqref="E10:F10"/>
      <selection pane="bottomLeft" activeCell="E6" sqref="E6"/>
    </sheetView>
  </sheetViews>
  <sheetFormatPr defaultColWidth="4.85546875" defaultRowHeight="16.149999999999999" customHeight="1" x14ac:dyDescent="0.2"/>
  <cols>
    <col min="1" max="1" width="7.85546875" style="45" bestFit="1" customWidth="1"/>
    <col min="2" max="3" width="4.85546875" style="45"/>
    <col min="4" max="4" width="4.85546875" style="46"/>
    <col min="5" max="5" width="19.5703125" style="45" customWidth="1"/>
    <col min="6" max="6" width="5.140625" style="45" customWidth="1"/>
    <col min="7" max="24" width="7.28515625" style="45" customWidth="1"/>
    <col min="25" max="25" width="7.140625" style="45" bestFit="1" customWidth="1"/>
    <col min="26" max="26" width="8.42578125" style="45" bestFit="1" customWidth="1"/>
    <col min="27" max="16384" width="4.85546875" style="45"/>
  </cols>
  <sheetData>
    <row r="1" spans="1:25" ht="16.149999999999999" hidden="1" customHeight="1" thickTop="1" thickBot="1" x14ac:dyDescent="0.25">
      <c r="A1" s="43" t="str">
        <f ca="1">MID(CELL("filename",A1),FIND("]",CELL("filename",A1))+1,255)</f>
        <v>ECONOMIC IMPACT</v>
      </c>
      <c r="E1" s="59"/>
      <c r="F1" s="60"/>
      <c r="G1" s="60"/>
      <c r="H1" s="60"/>
      <c r="I1" s="60"/>
      <c r="J1" s="60"/>
      <c r="K1" s="60"/>
      <c r="L1" s="60"/>
      <c r="M1" s="60"/>
      <c r="N1" s="60"/>
      <c r="O1" s="60"/>
      <c r="P1" s="60"/>
      <c r="Q1" s="60"/>
      <c r="R1" s="60"/>
      <c r="S1" s="60"/>
      <c r="T1" s="60"/>
      <c r="U1" s="60"/>
      <c r="V1" s="60"/>
      <c r="W1" s="60"/>
      <c r="X1" s="61"/>
    </row>
    <row r="2" spans="1:25" ht="16.149999999999999" customHeight="1" thickTop="1" x14ac:dyDescent="0.2">
      <c r="A2" s="625">
        <f ca="1">IF(($A$3/1000000)&gt;1,1000000,IF(($A$3/1000)&gt;1,1000,1))</f>
        <v>1000</v>
      </c>
      <c r="B2" s="625"/>
      <c r="C2" s="625"/>
      <c r="D2" s="629"/>
      <c r="E2" s="50"/>
      <c r="F2" s="51"/>
      <c r="G2" s="51"/>
      <c r="H2" s="51"/>
      <c r="I2" s="51"/>
      <c r="J2" s="51"/>
      <c r="K2" s="51"/>
      <c r="L2" s="51"/>
      <c r="M2" s="51"/>
      <c r="N2" s="51"/>
      <c r="O2" s="51"/>
      <c r="P2" s="51"/>
      <c r="Q2" s="51"/>
      <c r="R2" s="51"/>
      <c r="S2" s="51"/>
      <c r="T2" s="51"/>
      <c r="U2" s="51"/>
      <c r="V2" s="51"/>
      <c r="W2" s="51"/>
      <c r="X2" s="52"/>
    </row>
    <row r="3" spans="1:25" ht="26.45" customHeight="1" x14ac:dyDescent="0.2">
      <c r="A3" s="625">
        <f t="array" aca="1" ref="A3" ca="1">IFERROR(AVERAGE(IF(TYPE.no=5,(INDEX(DATA!T:T,MATCH(REP.yearsrange&amp;"."&amp;'ECONOMIC IMPACT'!$A$1&amp;"."&amp;TOTAL,REP.lookup,0))-INDEX(DATA!T:T,MATCH(REP.yearsrange&amp;"."&amp;'ECONOMIC IMPACT'!$A$1&amp;"."&amp;DV,REP.lookup,0))),INDEX(DATA!T:T,MATCH(REP.yearsrange&amp;"."&amp;'ECONOMIC IMPACT'!$A$1&amp;"."&amp;TYPE.userselected,REP.lookup,0)))),0)</f>
        <v>80142.004810397208</v>
      </c>
      <c r="B3" s="625">
        <f t="array" aca="1" ref="B3" ca="1">IFERROR(AVERAGE(IF(TYPE.no=5,(INDEX(DATA!U:U,MATCH(REP.yearsrange&amp;"."&amp;'ECONOMIC IMPACT'!$A$1&amp;"."&amp;TOTAL,REP.lookup,0))-INDEX(DATA!U:U,MATCH(REP.yearsrange&amp;"."&amp;'ECONOMIC IMPACT'!$A$1&amp;"."&amp;DV,REP.lookup,0))),INDEX(DATA!U:U,MATCH(REP.yearsrange&amp;"."&amp;'ECONOMIC IMPACT'!$A$1&amp;"."&amp;TYPE.userselected,REP.lookup,0)))),0)</f>
        <v>0</v>
      </c>
      <c r="C3" s="625"/>
      <c r="D3" s="629"/>
      <c r="E3" s="53"/>
      <c r="F3" s="49"/>
      <c r="G3" s="49"/>
      <c r="H3" s="49"/>
      <c r="I3" s="49"/>
      <c r="J3" s="49"/>
      <c r="K3" s="49"/>
      <c r="L3" s="49"/>
      <c r="M3" s="49"/>
      <c r="N3" s="49"/>
      <c r="O3" s="49"/>
      <c r="P3" s="49"/>
      <c r="Q3" s="49"/>
      <c r="R3" s="49"/>
      <c r="S3" s="49"/>
      <c r="T3" s="49"/>
      <c r="U3" s="49"/>
      <c r="V3" s="49"/>
      <c r="W3" s="49"/>
      <c r="X3" s="54"/>
    </row>
    <row r="4" spans="1:25" ht="26.45" customHeight="1" x14ac:dyDescent="0.2">
      <c r="A4" s="625">
        <f>IF(($A$5/1000000)&gt;1,1000000,IF(($A$5/1000)&gt;1,1000,1))</f>
        <v>1000</v>
      </c>
      <c r="B4" s="625"/>
      <c r="C4" s="625"/>
      <c r="D4" s="629"/>
      <c r="E4" s="64"/>
      <c r="F4" s="65"/>
      <c r="G4" s="65"/>
      <c r="H4" s="65"/>
      <c r="I4" s="65"/>
      <c r="J4" s="65"/>
      <c r="K4" s="65"/>
      <c r="L4" s="65"/>
      <c r="M4" s="65"/>
      <c r="N4" s="65"/>
      <c r="O4" s="65"/>
      <c r="P4" s="65"/>
      <c r="Q4" s="65"/>
      <c r="R4" s="65"/>
      <c r="S4" s="65"/>
      <c r="T4" s="65"/>
      <c r="U4" s="65"/>
      <c r="V4" s="65"/>
      <c r="W4" s="65"/>
      <c r="X4" s="66"/>
    </row>
    <row r="5" spans="1:25" ht="26.45" customHeight="1" thickBot="1" x14ac:dyDescent="0.25">
      <c r="A5" s="625">
        <f>VLOOKUP(FOCUSYEAR&amp;".ECONOMIC IMPACT.TOTAL",REP.data,18,FALSE)</f>
        <v>94627.891540846758</v>
      </c>
      <c r="B5" s="625"/>
      <c r="C5" s="625"/>
      <c r="D5" s="629"/>
      <c r="E5" s="56"/>
      <c r="F5" s="57"/>
      <c r="G5" s="57"/>
      <c r="H5" s="57"/>
      <c r="I5" s="57"/>
      <c r="J5" s="57"/>
      <c r="K5" s="57"/>
      <c r="L5" s="57"/>
      <c r="M5" s="57"/>
      <c r="N5" s="57"/>
      <c r="O5" s="57"/>
      <c r="P5" s="57"/>
      <c r="Q5" s="57"/>
      <c r="R5" s="57"/>
      <c r="S5" s="57"/>
      <c r="T5" s="57"/>
      <c r="U5" s="57"/>
      <c r="V5" s="57"/>
      <c r="W5" s="57"/>
      <c r="X5" s="58"/>
    </row>
    <row r="6" spans="1:25" ht="16.149999999999999" customHeight="1" thickTop="1" x14ac:dyDescent="0.2">
      <c r="A6" s="625"/>
      <c r="B6" s="625"/>
      <c r="C6" s="625"/>
      <c r="D6" s="626"/>
      <c r="E6" s="376" t="str">
        <f>REP.title1</f>
        <v>STEAM FINAL TREND REPORT FOR 2009-2013</v>
      </c>
      <c r="F6" s="397"/>
      <c r="G6" s="397"/>
      <c r="H6" s="397"/>
      <c r="I6" s="397"/>
      <c r="J6" s="397"/>
      <c r="K6" s="397"/>
      <c r="L6" s="397"/>
      <c r="M6" s="397"/>
      <c r="N6" s="397"/>
      <c r="O6" s="398"/>
      <c r="P6" s="955" t="str">
        <f>MIN(REP.yearsrange)&amp;" to "&amp;MAX(REP.yearsrange)</f>
        <v>2009 to 2013</v>
      </c>
      <c r="Q6" s="956"/>
      <c r="R6" s="957"/>
      <c r="S6" s="869" t="str">
        <f>UPPER(TYPE.userselected)</f>
        <v>TOTAL</v>
      </c>
      <c r="T6" s="870"/>
      <c r="U6" s="746" t="str">
        <f>IF(REP.indexed="YES","ECONOMIC IMPACT"&amp;CHAR(10)&amp;"Indexed","ECONOMIC IMPACT"&amp;CHAR(10)&amp;"Historic Prices")</f>
        <v>ECONOMIC IMPACT
Historic Prices</v>
      </c>
      <c r="V6" s="747"/>
      <c r="W6" s="747"/>
      <c r="X6" s="748"/>
    </row>
    <row r="7" spans="1:25" ht="16.149999999999999" customHeight="1" thickBot="1" x14ac:dyDescent="0.25">
      <c r="A7" s="625"/>
      <c r="B7" s="625"/>
      <c r="C7" s="625"/>
      <c r="D7" s="626"/>
      <c r="E7" s="377" t="str">
        <f>REP.title2</f>
        <v>MORAY HIE</v>
      </c>
      <c r="F7" s="378"/>
      <c r="G7" s="378"/>
      <c r="H7" s="378"/>
      <c r="I7" s="379"/>
      <c r="J7" s="379"/>
      <c r="K7" s="379"/>
      <c r="L7" s="379"/>
      <c r="M7" s="379"/>
      <c r="N7" s="379"/>
      <c r="O7" s="399"/>
      <c r="P7" s="952" t="str">
        <f>IF(REP.indexed="YES",MAX(REP.yearsrange)&amp;" Prices","Historic Prices")</f>
        <v>Historic Prices</v>
      </c>
      <c r="Q7" s="953"/>
      <c r="R7" s="954"/>
      <c r="S7" s="871"/>
      <c r="T7" s="872"/>
      <c r="U7" s="749"/>
      <c r="V7" s="750"/>
      <c r="W7" s="750"/>
      <c r="X7" s="751"/>
    </row>
    <row r="8" spans="1:25" ht="16.149999999999999" customHeight="1" thickTop="1" thickBot="1" x14ac:dyDescent="0.25">
      <c r="D8" s="119"/>
      <c r="E8" s="807" t="str">
        <f ca="1">$A$1&amp;" BY:"</f>
        <v>ECONOMIC IMPACT BY:</v>
      </c>
      <c r="F8" s="808"/>
      <c r="G8" s="807" t="s">
        <v>134</v>
      </c>
      <c r="H8" s="806"/>
      <c r="I8" s="806"/>
      <c r="J8" s="806"/>
      <c r="K8" s="806"/>
      <c r="L8" s="806"/>
      <c r="M8" s="806"/>
      <c r="N8" s="806"/>
      <c r="O8" s="806"/>
      <c r="P8" s="806"/>
      <c r="Q8" s="806"/>
      <c r="R8" s="806"/>
      <c r="S8" s="923" t="s">
        <v>125</v>
      </c>
      <c r="T8" s="924"/>
      <c r="U8" s="927" t="s">
        <v>126</v>
      </c>
      <c r="V8" s="928"/>
      <c r="W8" s="928"/>
      <c r="X8" s="929"/>
    </row>
    <row r="9" spans="1:25" s="41" customFormat="1" ht="16.149999999999999" customHeight="1" thickTop="1" thickBot="1" x14ac:dyDescent="0.25">
      <c r="D9" s="132"/>
      <c r="E9" s="812" t="s">
        <v>92</v>
      </c>
      <c r="F9" s="813"/>
      <c r="G9" s="938" t="str">
        <f>UPPER(TYPE.userselected)</f>
        <v>TOTAL</v>
      </c>
      <c r="H9" s="938"/>
      <c r="I9" s="938"/>
      <c r="J9" s="938"/>
      <c r="K9" s="938"/>
      <c r="L9" s="938"/>
      <c r="M9" s="938"/>
      <c r="N9" s="938"/>
      <c r="O9" s="938"/>
      <c r="P9" s="938"/>
      <c r="Q9" s="938"/>
      <c r="R9" s="939"/>
      <c r="S9" s="925"/>
      <c r="T9" s="926"/>
      <c r="U9" s="930"/>
      <c r="V9" s="931"/>
      <c r="W9" s="931"/>
      <c r="X9" s="932"/>
    </row>
    <row r="10" spans="1:25" s="41" customFormat="1" ht="16.149999999999999" customHeight="1" thickTop="1" thickBot="1" x14ac:dyDescent="0.25">
      <c r="D10" s="132"/>
      <c r="E10" s="785" t="str">
        <f>REP.highlightup</f>
        <v>An increase of 3% or more</v>
      </c>
      <c r="F10" s="786"/>
      <c r="G10" s="807" t="str">
        <f ca="1">$A$1&amp;" "&amp;$F$16&amp;" "&amp;IF(REP.indexed="YES"," - INDEXED TO "&amp;MAX(REP.yearsrange)," - IN HISTORIC PRICES")&amp;" / PERCENTAGE CHANGES"</f>
        <v>ECONOMIC IMPACT £M  - IN HISTORIC PRICES / PERCENTAGE CHANGES</v>
      </c>
      <c r="H10" s="806"/>
      <c r="I10" s="806"/>
      <c r="J10" s="806"/>
      <c r="K10" s="806"/>
      <c r="L10" s="806"/>
      <c r="M10" s="806"/>
      <c r="N10" s="806"/>
      <c r="O10" s="806"/>
      <c r="P10" s="806"/>
      <c r="Q10" s="806"/>
      <c r="R10" s="808"/>
      <c r="S10" s="920" t="s">
        <v>39</v>
      </c>
      <c r="T10" s="920" t="s">
        <v>120</v>
      </c>
      <c r="U10" s="930"/>
      <c r="V10" s="931"/>
      <c r="W10" s="931"/>
      <c r="X10" s="932"/>
    </row>
    <row r="11" spans="1:25" s="41" customFormat="1" ht="16.149999999999999" customHeight="1" thickTop="1" thickBot="1" x14ac:dyDescent="0.25">
      <c r="D11" s="132"/>
      <c r="E11" s="796" t="str">
        <f>REP.highlightsame</f>
        <v>Less than 3% change</v>
      </c>
      <c r="F11" s="797"/>
      <c r="G11" s="940" t="s">
        <v>93</v>
      </c>
      <c r="H11" s="941"/>
      <c r="I11" s="942"/>
      <c r="J11" s="943" t="s">
        <v>94</v>
      </c>
      <c r="K11" s="944"/>
      <c r="L11" s="945"/>
      <c r="M11" s="946" t="s">
        <v>95</v>
      </c>
      <c r="N11" s="947"/>
      <c r="O11" s="948"/>
      <c r="P11" s="949" t="s">
        <v>96</v>
      </c>
      <c r="Q11" s="950"/>
      <c r="R11" s="951"/>
      <c r="S11" s="921"/>
      <c r="T11" s="921"/>
      <c r="U11" s="933"/>
      <c r="V11" s="934"/>
      <c r="W11" s="934"/>
      <c r="X11" s="935"/>
    </row>
    <row r="12" spans="1:25" ht="16.149999999999999" customHeight="1" thickTop="1" thickBot="1" x14ac:dyDescent="0.25">
      <c r="D12" s="119"/>
      <c r="E12" s="777" t="str">
        <f>REP.highlightdown</f>
        <v>A Fall of 3% or more</v>
      </c>
      <c r="F12" s="778"/>
      <c r="G12" s="191" t="s">
        <v>27</v>
      </c>
      <c r="H12" s="191" t="s">
        <v>28</v>
      </c>
      <c r="I12" s="191" t="s">
        <v>29</v>
      </c>
      <c r="J12" s="192" t="s">
        <v>30</v>
      </c>
      <c r="K12" s="192" t="s">
        <v>31</v>
      </c>
      <c r="L12" s="192" t="s">
        <v>32</v>
      </c>
      <c r="M12" s="193" t="s">
        <v>33</v>
      </c>
      <c r="N12" s="193" t="s">
        <v>34</v>
      </c>
      <c r="O12" s="193" t="s">
        <v>35</v>
      </c>
      <c r="P12" s="194" t="s">
        <v>36</v>
      </c>
      <c r="Q12" s="194" t="s">
        <v>37</v>
      </c>
      <c r="R12" s="194" t="s">
        <v>38</v>
      </c>
      <c r="S12" s="922"/>
      <c r="T12" s="922"/>
      <c r="U12" s="195" t="s">
        <v>93</v>
      </c>
      <c r="V12" s="196" t="s">
        <v>94</v>
      </c>
      <c r="W12" s="197" t="s">
        <v>95</v>
      </c>
      <c r="X12" s="198" t="s">
        <v>96</v>
      </c>
    </row>
    <row r="13" spans="1:25" ht="16.149999999999999" customHeight="1" thickTop="1" thickBot="1" x14ac:dyDescent="0.25">
      <c r="D13" s="119"/>
      <c r="E13" s="936" t="str">
        <f>"% Change "&amp;MIN(REP.yearsrange)&amp;" to "&amp;MAX(REP.yearsrange)</f>
        <v>% Change 2009 to 2013</v>
      </c>
      <c r="F13" s="936"/>
      <c r="G13" s="142">
        <f ca="1">INDEX(G$16:G$27,MATCH(MAX(REP.yearsrange),$E$16:$E$27,0))/INDEX(G$16:G$27,MATCH(MIN(REP.yearsrange),$E$16:$E$27,0))-1</f>
        <v>0.1775284598614788</v>
      </c>
      <c r="H13" s="142">
        <f ca="1">INDEX(H$16:H$27,MATCH(MAX(REP.yearsrange),$E$16:$E$27,0))/INDEX(H$16:H$27,MATCH(MIN(REP.yearsrange),$E$16:$E$27,0))-1</f>
        <v>0.31630171762098991</v>
      </c>
      <c r="I13" s="142">
        <f ca="1">INDEX(I$16:I$27,MATCH(MAX(REP.yearsrange),$E$16:$E$27,0))/INDEX(I$16:I$27,MATCH(MIN(REP.yearsrange),$E$16:$E$27,0))-1</f>
        <v>0.65344525390371277</v>
      </c>
      <c r="J13" s="142">
        <f ca="1">INDEX(J$16:J$27,MATCH(MAX(REP.yearsrange),$E$16:$E$27,0))/INDEX(J$16:J$27,MATCH(MIN(REP.yearsrange),$E$16:$E$27,0))-1</f>
        <v>0.27845659603426109</v>
      </c>
      <c r="K13" s="142">
        <f ca="1">INDEX(K$16:K$27,MATCH(MAX(REP.yearsrange),$E$16:$E$27,0))/INDEX(K$16:K$27,MATCH(MIN(REP.yearsrange),$E$16:$E$27,0))-1</f>
        <v>0.1093464769864636</v>
      </c>
      <c r="L13" s="142">
        <f ca="1">INDEX(L$16:L$27,MATCH(MAX(REP.yearsrange),$E$16:$E$27,0))/INDEX(L$16:L$27,MATCH(MIN(REP.yearsrange),$E$16:$E$27,0))-1</f>
        <v>0.23148419920067442</v>
      </c>
      <c r="M13" s="199">
        <f ca="1">INDEX(M$16:M$27,MATCH(MAX(REP.yearsrange),$E$16:$E$27,0))/INDEX(M$16:M$27,MATCH(MIN(REP.yearsrange),$E$16:$E$27,0))-1</f>
        <v>0.13934701773861913</v>
      </c>
      <c r="N13" s="199">
        <f ca="1">INDEX(N$16:N$27,MATCH(MAX(REP.yearsrange),$E$16:$E$27,0))/INDEX(N$16:N$27,MATCH(MIN(REP.yearsrange),$E$16:$E$27,0))-1</f>
        <v>0.13148957269080142</v>
      </c>
      <c r="O13" s="199">
        <f ca="1">INDEX(O$16:O$27,MATCH(MAX(REP.yearsrange),$E$16:$E$27,0))/INDEX(O$16:O$27,MATCH(MIN(REP.yearsrange),$E$16:$E$27,0))-1</f>
        <v>0.16810415717766802</v>
      </c>
      <c r="P13" s="199">
        <f ca="1">INDEX(P$16:P$27,MATCH(MAX(REP.yearsrange),$E$16:$E$27,0))/INDEX(P$16:P$27,MATCH(MIN(REP.yearsrange),$E$16:$E$27,0))-1</f>
        <v>8.1727183625127875E-2</v>
      </c>
      <c r="Q13" s="199">
        <f ca="1">INDEX(Q$16:Q$27,MATCH(MAX(REP.yearsrange),$E$16:$E$27,0))/INDEX(Q$16:Q$27,MATCH(MIN(REP.yearsrange),$E$16:$E$27,0))-1</f>
        <v>-0.1230515580366448</v>
      </c>
      <c r="R13" s="199">
        <f ca="1">INDEX(R$16:R$27,MATCH(MAX(REP.yearsrange),$E$16:$E$27,0))/INDEX(R$16:R$27,MATCH(MIN(REP.yearsrange),$E$16:$E$27,0))-1</f>
        <v>6.4654465959421925E-2</v>
      </c>
      <c r="S13" s="199">
        <f ca="1">INDEX(S$16:S$27,MATCH(MAX(REP.yearsrange),$E$16:$E$27,0))/INDEX(S$16:S$27,MATCH(MIN(REP.yearsrange),$E$16:$E$27,0))-1</f>
        <v>0.18075273715351603</v>
      </c>
      <c r="T13" s="937" t="str">
        <f>"Annual"&amp;CHAR(10)&amp;"Change"</f>
        <v>Annual
Change</v>
      </c>
      <c r="U13" s="142">
        <f ca="1">INDEX(U$16:U$27,MATCH(MAX(REP.yearsrange),$E$16:$E$27,0))/INDEX(U$16:U$27,MATCH(MIN(REP.yearsrange),$E$16:$E$27,0))-1</f>
        <v>0.38327483349332936</v>
      </c>
      <c r="V13" s="142">
        <f ca="1">INDEX(V$16:V$27,MATCH(MAX(REP.yearsrange),$E$16:$E$27,0))/INDEX(V$16:V$27,MATCH(MIN(REP.yearsrange),$E$16:$E$27,0))-1</f>
        <v>0.19985504101283014</v>
      </c>
      <c r="W13" s="142">
        <f ca="1">INDEX(W$16:W$27,MATCH(MAX(REP.yearsrange),$E$16:$E$27,0))/INDEX(W$16:W$27,MATCH(MIN(REP.yearsrange),$E$16:$E$27,0))-1</f>
        <v>0.14290460380437642</v>
      </c>
      <c r="X13" s="142">
        <f ca="1">INDEX(X$16:X$27,MATCH(MAX(REP.yearsrange),$E$16:$E$27,0))/INDEX(X$16:X$27,MATCH(MIN(REP.yearsrange),$E$16:$E$27,0))-1</f>
        <v>1.5011258545938322E-2</v>
      </c>
    </row>
    <row r="14" spans="1:25" ht="16.149999999999999" customHeight="1" thickTop="1" thickBot="1" x14ac:dyDescent="0.25">
      <c r="D14" s="119"/>
      <c r="E14" s="936" t="str">
        <f>"% Change "&amp;INDEX(REP.yearsrange,COUNT(REP.yearsrange)-1)&amp;" to "&amp;MAX(REP.yearsrange)</f>
        <v>% Change 2012 to 2013</v>
      </c>
      <c r="F14" s="936"/>
      <c r="G14" s="142">
        <f ca="1">INDEX(G$16:G$27,MATCH(MAX(REP.yearsrange),$E$16:$E$27,0))/INDEX(G$16:G$27,MATCH(INDEX(REP.yearsrange,COUNT(REP.yearsrange)-1),$E$16:$E$27,0))-1</f>
        <v>3.9367263312326095E-2</v>
      </c>
      <c r="H14" s="142">
        <f ca="1">INDEX(H$16:H$27,MATCH(MAX(REP.yearsrange),$E$16:$E$27,0))/INDEX(H$16:H$27,MATCH(INDEX(REP.yearsrange,COUNT(REP.yearsrange)-1),$E$16:$E$27,0))-1</f>
        <v>8.5496660577744077E-2</v>
      </c>
      <c r="I14" s="142">
        <f ca="1">INDEX(I$16:I$27,MATCH(MAX(REP.yearsrange),$E$16:$E$27,0))/INDEX(I$16:I$27,MATCH(INDEX(REP.yearsrange,COUNT(REP.yearsrange)-1),$E$16:$E$27,0))-1</f>
        <v>0.23043216255945054</v>
      </c>
      <c r="J14" s="142">
        <f ca="1">INDEX(J$16:J$27,MATCH(MAX(REP.yearsrange),$E$16:$E$27,0))/INDEX(J$16:J$27,MATCH(INDEX(REP.yearsrange,COUNT(REP.yearsrange)-1),$E$16:$E$27,0))-1</f>
        <v>9.4855844461471772E-2</v>
      </c>
      <c r="K14" s="142">
        <f ca="1">INDEX(K$16:K$27,MATCH(MAX(REP.yearsrange),$E$16:$E$27,0))/INDEX(K$16:K$27,MATCH(INDEX(REP.yearsrange,COUNT(REP.yearsrange)-1),$E$16:$E$27,0))-1</f>
        <v>0.14386711184768419</v>
      </c>
      <c r="L14" s="142">
        <f ca="1">INDEX(L$16:L$27,MATCH(MAX(REP.yearsrange),$E$16:$E$27,0))/INDEX(L$16:L$27,MATCH(INDEX(REP.yearsrange,COUNT(REP.yearsrange)-1),$E$16:$E$27,0))-1</f>
        <v>2.1921534428144263E-2</v>
      </c>
      <c r="M14" s="199">
        <f ca="1">INDEX(M$16:M$27,MATCH(MAX(REP.yearsrange),$E$16:$E$27,0))/INDEX(M$16:M$27,MATCH(INDEX(REP.yearsrange,COUNT(REP.yearsrange)-1),$E$16:$E$27,0))-1</f>
        <v>0.1573865416445539</v>
      </c>
      <c r="N14" s="199">
        <f ca="1">INDEX(N$16:N$27,MATCH(MAX(REP.yearsrange),$E$16:$E$27,0))/INDEX(N$16:N$27,MATCH(INDEX(REP.yearsrange,COUNT(REP.yearsrange)-1),$E$16:$E$27,0))-1</f>
        <v>0.11097748070285651</v>
      </c>
      <c r="O14" s="199">
        <f ca="1">INDEX(O$16:O$27,MATCH(MAX(REP.yearsrange),$E$16:$E$27,0))/INDEX(O$16:O$27,MATCH(INDEX(REP.yearsrange,COUNT(REP.yearsrange)-1),$E$16:$E$27,0))-1</f>
        <v>5.6256616965171924E-2</v>
      </c>
      <c r="P14" s="199">
        <f ca="1">INDEX(P$16:P$27,MATCH(MAX(REP.yearsrange),$E$16:$E$27,0))/INDEX(P$16:P$27,MATCH(INDEX(REP.yearsrange,COUNT(REP.yearsrange)-1),$E$16:$E$27,0))-1</f>
        <v>6.4260699026707835E-2</v>
      </c>
      <c r="Q14" s="199">
        <f ca="1">INDEX(Q$16:Q$27,MATCH(MAX(REP.yearsrange),$E$16:$E$27,0))/INDEX(Q$16:Q$27,MATCH(INDEX(REP.yearsrange,COUNT(REP.yearsrange)-1),$E$16:$E$27,0))-1</f>
        <v>-3.0735035954150058E-2</v>
      </c>
      <c r="R14" s="199">
        <f ca="1">INDEX(R$16:R$27,MATCH(MAX(REP.yearsrange),$E$16:$E$27,0))/INDEX(R$16:R$27,MATCH(INDEX(REP.yearsrange,COUNT(REP.yearsrange)-1),$E$16:$E$27,0))-1</f>
        <v>-0.11680337305196187</v>
      </c>
      <c r="S14" s="199">
        <f ca="1">INDEX(S$16:S$27,MATCH(MAX(REP.yearsrange),$E$16:$E$27,0))/INDEX(S$16:S$27,MATCH(INDEX(REP.yearsrange,COUNT(REP.yearsrange)-1),$E$16:$E$27,0))-1</f>
        <v>8.6281658541214723E-2</v>
      </c>
      <c r="T14" s="937"/>
      <c r="U14" s="142">
        <f ca="1">INDEX(U$16:U$27,MATCH(MAX(REP.yearsrange),$E$16:$E$27,0))/INDEX(U$16:U$27,MATCH(INDEX(REP.yearsrange,COUNT(REP.yearsrange)-1),$E$16:$E$27,0))-1</f>
        <v>0.12483926366545917</v>
      </c>
      <c r="V14" s="142">
        <f ca="1">INDEX(V$16:V$27,MATCH(MAX(REP.yearsrange),$E$16:$E$27,0))/INDEX(V$16:V$27,MATCH(INDEX(REP.yearsrange,COUNT(REP.yearsrange)-1),$E$16:$E$27,0))-1</f>
        <v>8.2072235937958427E-2</v>
      </c>
      <c r="W14" s="142">
        <f ca="1">INDEX(W$16:W$27,MATCH(MAX(REP.yearsrange),$E$16:$E$27,0))/INDEX(W$16:W$27,MATCH(INDEX(REP.yearsrange,COUNT(REP.yearsrange)-1),$E$16:$E$27,0))-1</f>
        <v>0.11440738697794695</v>
      </c>
      <c r="X14" s="142">
        <f ca="1">INDEX(X$16:X$27,MATCH(MAX(REP.yearsrange),$E$16:$E$27,0))/INDEX(X$16:X$27,MATCH(INDEX(REP.yearsrange,COUNT(REP.yearsrange)-1),$E$16:$E$27,0))-1</f>
        <v>-1.4236902890383707E-2</v>
      </c>
    </row>
    <row r="15" spans="1:25" ht="16.149999999999999" customHeight="1" thickTop="1" thickBot="1" x14ac:dyDescent="0.25">
      <c r="D15" s="119"/>
      <c r="E15" s="936" t="s">
        <v>118</v>
      </c>
      <c r="F15" s="936"/>
      <c r="G15" s="142">
        <f ca="1">G14/(COUNT(REP.yearsrange)-1)</f>
        <v>9.8418158280815238E-3</v>
      </c>
      <c r="H15" s="142">
        <f ca="1">H14/(COUNT(REP.yearsrange)-1)</f>
        <v>2.1374165144436019E-2</v>
      </c>
      <c r="I15" s="142">
        <f ca="1">I14/(COUNT(REP.yearsrange)-1)</f>
        <v>5.7608040639862634E-2</v>
      </c>
      <c r="J15" s="142">
        <f ca="1">J14/(COUNT(REP.yearsrange)-1)</f>
        <v>2.3713961115367943E-2</v>
      </c>
      <c r="K15" s="142">
        <f ca="1">K14/(COUNT(REP.yearsrange)-1)</f>
        <v>3.5966777961921048E-2</v>
      </c>
      <c r="L15" s="142">
        <f ca="1">L14/(COUNT(REP.yearsrange)-1)</f>
        <v>5.4803836070360656E-3</v>
      </c>
      <c r="M15" s="199">
        <f ca="1">M14/(COUNT(REP.yearsrange)-1)</f>
        <v>3.9346635411138475E-2</v>
      </c>
      <c r="N15" s="199">
        <f ca="1">N14/(COUNT(REP.yearsrange)-1)</f>
        <v>2.7744370175714128E-2</v>
      </c>
      <c r="O15" s="199">
        <f ca="1">O14/(COUNT(REP.yearsrange)-1)</f>
        <v>1.4064154241292981E-2</v>
      </c>
      <c r="P15" s="199">
        <f ca="1">P14/(COUNT(REP.yearsrange)-1)</f>
        <v>1.6065174756676959E-2</v>
      </c>
      <c r="Q15" s="199">
        <f ca="1">Q14/(COUNT(REP.yearsrange)-1)</f>
        <v>-7.6837589885375146E-3</v>
      </c>
      <c r="R15" s="199">
        <f ca="1">R14/(COUNT(REP.yearsrange)-1)</f>
        <v>-2.9200843262990467E-2</v>
      </c>
      <c r="S15" s="199">
        <f ca="1">S14/(COUNT(REP.yearsrange)-1)</f>
        <v>2.1570414635303681E-2</v>
      </c>
      <c r="T15" s="937"/>
      <c r="U15" s="142">
        <f ca="1">U14/(COUNT(REP.yearsrange)-1)</f>
        <v>3.1209815916364791E-2</v>
      </c>
      <c r="V15" s="142">
        <f ca="1">V14/(COUNT(REP.yearsrange)-1)</f>
        <v>2.0518058984489607E-2</v>
      </c>
      <c r="W15" s="142">
        <f ca="1">W14/(COUNT(REP.yearsrange)-1)</f>
        <v>2.8601846744486736E-2</v>
      </c>
      <c r="X15" s="142">
        <f ca="1">X14/(COUNT(REP.yearsrange)-1)</f>
        <v>-3.5592257225959267E-3</v>
      </c>
    </row>
    <row r="16" spans="1:25" ht="16.149999999999999" customHeight="1" thickTop="1" thickBot="1" x14ac:dyDescent="0.25">
      <c r="D16" s="119"/>
      <c r="E16" s="200">
        <f t="array" ref="E16:E27">INDEX(REP.yearsrange,REP.yearnos)</f>
        <v>2009</v>
      </c>
      <c r="F16" s="201" t="str">
        <f ca="1">IF($A$2=1,"£000s",IF(A2=1000,"£M","£Bn"))</f>
        <v>£M</v>
      </c>
      <c r="G16" s="596">
        <f t="array" aca="1" ref="G16:G27" ca="1">EI.MONTHLYDATA</f>
        <v>5.2939953799304638</v>
      </c>
      <c r="H16" s="596">
        <f t="array" aca="1" ref="H16:H27" ca="1">EI.MONTHLYDATA</f>
        <v>4.7415845545105446</v>
      </c>
      <c r="I16" s="596">
        <f t="array" aca="1" ref="I16:I27" ca="1">EI.MONTHLYDATA</f>
        <v>5.2070061596503532</v>
      </c>
      <c r="J16" s="597">
        <f t="array" aca="1" ref="J16:J27" ca="1">EI.MONTHLYDATA</f>
        <v>5.8004893138741229</v>
      </c>
      <c r="K16" s="597">
        <f t="array" aca="1" ref="K16:K27" ca="1">EI.MONTHLYDATA</f>
        <v>7.6712869209699344</v>
      </c>
      <c r="L16" s="597">
        <f t="array" aca="1" ref="L16:L27" ca="1">EI.MONTHLYDATA</f>
        <v>7.5370227079630521</v>
      </c>
      <c r="M16" s="598">
        <f t="array" aca="1" ref="M16:M27" ca="1">EI.MONTHLYDATA</f>
        <v>11.294382323131675</v>
      </c>
      <c r="N16" s="598">
        <f t="array" aca="1" ref="N16:N27" ca="1">EI.MONTHLYDATA</f>
        <v>11.504328120730321</v>
      </c>
      <c r="O16" s="598">
        <f t="array" aca="1" ref="O16:O27" ca="1">EI.MONTHLYDATA</f>
        <v>6.8057952485299626</v>
      </c>
      <c r="P16" s="599">
        <f t="array" aca="1" ref="P16:P27" ca="1">EI.MONTHLYDATA</f>
        <v>6.3548724122794606</v>
      </c>
      <c r="Q16" s="599">
        <f t="array" aca="1" ref="Q16:Q27" ca="1">EI.MONTHLYDATA</f>
        <v>4.3562984796622004</v>
      </c>
      <c r="R16" s="599">
        <f t="array" aca="1" ref="R16:R27" ca="1">EI.MONTHLYDATA</f>
        <v>3.5749431891651033</v>
      </c>
      <c r="S16" s="600">
        <f t="array" aca="1" ref="S16:S27" ca="1">EI.MONTHLYDATA</f>
        <v>80.142004810397211</v>
      </c>
      <c r="T16" s="937"/>
      <c r="U16" s="596">
        <f ca="1">IF(SUM(G16:I16)=0,"",SUM(G16:I16))</f>
        <v>15.242586094091362</v>
      </c>
      <c r="V16" s="597">
        <f ca="1">IF(SUM(J16:L16)=0,"",SUM(J16:L16))</f>
        <v>21.008798942807111</v>
      </c>
      <c r="W16" s="598">
        <f ca="1">IF(SUM(M16:O16)=0,"",SUM(M16:O16))</f>
        <v>29.60450569239196</v>
      </c>
      <c r="X16" s="599">
        <f ca="1">IF(SUM(P16:R16)=0,"",SUM(P16:R16))</f>
        <v>14.286114081106764</v>
      </c>
      <c r="Y16" s="100"/>
    </row>
    <row r="17" spans="4:35" ht="16.149999999999999" customHeight="1" thickTop="1" thickBot="1" x14ac:dyDescent="0.25">
      <c r="D17" s="119"/>
      <c r="E17" s="200">
        <v>2010</v>
      </c>
      <c r="F17" s="201" t="str">
        <f t="shared" ref="F17:F25" ca="1" si="0">$F$16</f>
        <v>£M</v>
      </c>
      <c r="G17" s="596">
        <f ca="1"/>
        <v>4.9431136985422635</v>
      </c>
      <c r="H17" s="596">
        <f ca="1"/>
        <v>4.5059033494656191</v>
      </c>
      <c r="I17" s="596">
        <f ca="1"/>
        <v>6.7958858772999209</v>
      </c>
      <c r="J17" s="597">
        <f ca="1"/>
        <v>6.7157569403443649</v>
      </c>
      <c r="K17" s="597">
        <f ca="1"/>
        <v>8.6623762443001162</v>
      </c>
      <c r="L17" s="597">
        <f ca="1"/>
        <v>9.2290351785661375</v>
      </c>
      <c r="M17" s="598">
        <f ca="1"/>
        <v>10.968699175474521</v>
      </c>
      <c r="N17" s="598">
        <f ca="1"/>
        <v>11.460994783317938</v>
      </c>
      <c r="O17" s="598">
        <f ca="1"/>
        <v>7.2305583092238361</v>
      </c>
      <c r="P17" s="599">
        <f ca="1"/>
        <v>6.8111471031924848</v>
      </c>
      <c r="Q17" s="599">
        <f ca="1"/>
        <v>3.7074481738368315</v>
      </c>
      <c r="R17" s="599">
        <f ca="1"/>
        <v>3.5174934547313725</v>
      </c>
      <c r="S17" s="600">
        <f ca="1"/>
        <v>84.54841228829541</v>
      </c>
      <c r="T17" s="202">
        <f ca="1">IFERROR(IF(S17&lt;&gt;0,S17/S16-1,""),"")</f>
        <v>5.4982496236811507E-2</v>
      </c>
      <c r="U17" s="596">
        <f t="shared" ref="U17:U26" ca="1" si="1">IF(SUM(G17:I17)=0,"",SUM(G17:I17))</f>
        <v>16.244902925307802</v>
      </c>
      <c r="V17" s="597">
        <f t="shared" ref="V17:V26" ca="1" si="2">IF(SUM(J17:L17)=0,"",SUM(J17:L17))</f>
        <v>24.607168363210619</v>
      </c>
      <c r="W17" s="598">
        <f t="shared" ref="W17:W26" ca="1" si="3">IF(SUM(M17:O17)=0,"",SUM(M17:O17))</f>
        <v>29.660252268016293</v>
      </c>
      <c r="X17" s="599">
        <f t="shared" ref="X17:X26" ca="1" si="4">IF(SUM(P17:R17)=0,"",SUM(P17:R17))</f>
        <v>14.036088731760689</v>
      </c>
    </row>
    <row r="18" spans="4:35" ht="16.149999999999999" customHeight="1" thickTop="1" thickBot="1" x14ac:dyDescent="0.25">
      <c r="D18" s="119"/>
      <c r="E18" s="200">
        <v>2011</v>
      </c>
      <c r="F18" s="201" t="str">
        <f t="shared" ca="1" si="0"/>
        <v>£M</v>
      </c>
      <c r="G18" s="596">
        <f ca="1"/>
        <v>4.2337377809963765</v>
      </c>
      <c r="H18" s="596">
        <f ca="1"/>
        <v>5.2793115995345783</v>
      </c>
      <c r="I18" s="596">
        <f ca="1"/>
        <v>6.193308100690806</v>
      </c>
      <c r="J18" s="597">
        <f ca="1"/>
        <v>7.3823974297245005</v>
      </c>
      <c r="K18" s="597">
        <f ca="1"/>
        <v>7.8868240005193044</v>
      </c>
      <c r="L18" s="597">
        <f ca="1"/>
        <v>8.7335224377033978</v>
      </c>
      <c r="M18" s="598">
        <f ca="1"/>
        <v>10.715903853840569</v>
      </c>
      <c r="N18" s="598">
        <f ca="1"/>
        <v>11.291470121756717</v>
      </c>
      <c r="O18" s="598">
        <f ca="1"/>
        <v>6.8006578946712954</v>
      </c>
      <c r="P18" s="599">
        <f ca="1"/>
        <v>7.0671165376393841</v>
      </c>
      <c r="Q18" s="599">
        <f ca="1"/>
        <v>4.3585544569685375</v>
      </c>
      <c r="R18" s="599">
        <f ca="1"/>
        <v>4.341182240377246</v>
      </c>
      <c r="S18" s="600">
        <f ca="1"/>
        <v>84.283986454422703</v>
      </c>
      <c r="T18" s="202">
        <f t="shared" ref="T18:T27" ca="1" si="5">IFERROR(IF(S18&lt;&gt;0,S18/S17-1,""),"")</f>
        <v>-3.1275079769808034E-3</v>
      </c>
      <c r="U18" s="596">
        <f t="shared" ca="1" si="1"/>
        <v>15.706357481221762</v>
      </c>
      <c r="V18" s="597">
        <f t="shared" ca="1" si="2"/>
        <v>24.002743867947203</v>
      </c>
      <c r="W18" s="598">
        <f t="shared" ca="1" si="3"/>
        <v>28.808031870268582</v>
      </c>
      <c r="X18" s="599">
        <f t="shared" ca="1" si="4"/>
        <v>15.766853234985167</v>
      </c>
    </row>
    <row r="19" spans="4:35" ht="16.149999999999999" customHeight="1" thickTop="1" thickBot="1" x14ac:dyDescent="0.25">
      <c r="D19" s="119"/>
      <c r="E19" s="200">
        <v>2012</v>
      </c>
      <c r="F19" s="201" t="str">
        <f t="shared" ca="1" si="0"/>
        <v>£M</v>
      </c>
      <c r="G19" s="596">
        <f ca="1"/>
        <v>5.9977165399426857</v>
      </c>
      <c r="H19" s="596">
        <f ca="1"/>
        <v>5.7497697782188393</v>
      </c>
      <c r="I19" s="596">
        <f ca="1"/>
        <v>6.9971347333870515</v>
      </c>
      <c r="J19" s="597">
        <f ca="1"/>
        <v>6.7731965455198129</v>
      </c>
      <c r="K19" s="597">
        <f ca="1"/>
        <v>7.4397760295634132</v>
      </c>
      <c r="L19" s="597">
        <f ca="1"/>
        <v>9.0826194195693564</v>
      </c>
      <c r="M19" s="598">
        <f ca="1"/>
        <v>11.118343227643839</v>
      </c>
      <c r="N19" s="598">
        <f ca="1"/>
        <v>11.716733719197205</v>
      </c>
      <c r="O19" s="598">
        <f ca="1"/>
        <v>7.5264643032953442</v>
      </c>
      <c r="P19" s="599">
        <f ca="1"/>
        <v>6.4591676110174321</v>
      </c>
      <c r="Q19" s="599">
        <f ca="1"/>
        <v>3.9413878621185643</v>
      </c>
      <c r="R19" s="599">
        <f ca="1"/>
        <v>4.3094358784499436</v>
      </c>
      <c r="S19" s="600">
        <f ca="1"/>
        <v>87.111745647923485</v>
      </c>
      <c r="T19" s="202">
        <f t="shared" ca="1" si="5"/>
        <v>3.3550373118978127E-2</v>
      </c>
      <c r="U19" s="596">
        <f t="shared" ca="1" si="1"/>
        <v>18.744621051548577</v>
      </c>
      <c r="V19" s="597">
        <f t="shared" ca="1" si="2"/>
        <v>23.295591994652582</v>
      </c>
      <c r="W19" s="598">
        <f t="shared" ca="1" si="3"/>
        <v>30.361541250136387</v>
      </c>
      <c r="X19" s="599">
        <f t="shared" ca="1" si="4"/>
        <v>14.709991351585941</v>
      </c>
    </row>
    <row r="20" spans="4:35" ht="16.149999999999999" customHeight="1" thickTop="1" thickBot="1" x14ac:dyDescent="0.25">
      <c r="D20" s="119"/>
      <c r="E20" s="200">
        <v>2013</v>
      </c>
      <c r="F20" s="201" t="str">
        <f t="shared" ca="1" si="0"/>
        <v>£M</v>
      </c>
      <c r="G20" s="596">
        <f ca="1"/>
        <v>6.2338302262433034</v>
      </c>
      <c r="H20" s="596">
        <f ca="1"/>
        <v>6.2413558933473858</v>
      </c>
      <c r="I20" s="596">
        <f ca="1"/>
        <v>8.6094996217212749</v>
      </c>
      <c r="J20" s="597">
        <f ca="1"/>
        <v>7.4156738235486177</v>
      </c>
      <c r="K20" s="597">
        <f ca="1"/>
        <v>8.5101151197303331</v>
      </c>
      <c r="L20" s="597">
        <f ca="1"/>
        <v>9.2817243738731783</v>
      </c>
      <c r="M20" s="598">
        <f ca="1"/>
        <v>12.86822081705985</v>
      </c>
      <c r="N20" s="598">
        <f ca="1"/>
        <v>13.017027309419921</v>
      </c>
      <c r="O20" s="598">
        <f ca="1"/>
        <v>7.9498777227078703</v>
      </c>
      <c r="P20" s="599">
        <f ca="1"/>
        <v>6.8742382368320829</v>
      </c>
      <c r="Q20" s="599">
        <f ca="1"/>
        <v>3.8202491644670995</v>
      </c>
      <c r="R20" s="599">
        <f ca="1"/>
        <v>3.8060792318958456</v>
      </c>
      <c r="S20" s="600">
        <f ca="1"/>
        <v>94.627891540846761</v>
      </c>
      <c r="T20" s="202">
        <f t="shared" ca="1" si="5"/>
        <v>8.6281658541214723E-2</v>
      </c>
      <c r="U20" s="596">
        <f t="shared" ca="1" si="1"/>
        <v>21.084685741311965</v>
      </c>
      <c r="V20" s="597">
        <f t="shared" ca="1" si="2"/>
        <v>25.207513317152127</v>
      </c>
      <c r="W20" s="598">
        <f t="shared" ca="1" si="3"/>
        <v>33.835125849187641</v>
      </c>
      <c r="X20" s="599">
        <f t="shared" ca="1" si="4"/>
        <v>14.500566633195028</v>
      </c>
    </row>
    <row r="21" spans="4:35" ht="16.149999999999999" customHeight="1" thickTop="1" thickBot="1" x14ac:dyDescent="0.25">
      <c r="D21" s="119"/>
      <c r="E21" s="200">
        <v>0</v>
      </c>
      <c r="F21" s="201" t="str">
        <f t="shared" ca="1" si="0"/>
        <v>£M</v>
      </c>
      <c r="G21" s="596">
        <f ca="1"/>
        <v>0</v>
      </c>
      <c r="H21" s="596">
        <f ca="1"/>
        <v>0</v>
      </c>
      <c r="I21" s="596">
        <f ca="1"/>
        <v>0</v>
      </c>
      <c r="J21" s="597">
        <f ca="1"/>
        <v>0</v>
      </c>
      <c r="K21" s="597">
        <f ca="1"/>
        <v>0</v>
      </c>
      <c r="L21" s="597">
        <f ca="1"/>
        <v>0</v>
      </c>
      <c r="M21" s="598">
        <f ca="1"/>
        <v>0</v>
      </c>
      <c r="N21" s="598">
        <f ca="1"/>
        <v>0</v>
      </c>
      <c r="O21" s="598">
        <f ca="1"/>
        <v>0</v>
      </c>
      <c r="P21" s="599">
        <f ca="1"/>
        <v>0</v>
      </c>
      <c r="Q21" s="599">
        <f ca="1"/>
        <v>0</v>
      </c>
      <c r="R21" s="599">
        <f ca="1"/>
        <v>0</v>
      </c>
      <c r="S21" s="600">
        <f ca="1"/>
        <v>0</v>
      </c>
      <c r="T21" s="202" t="str">
        <f t="shared" ca="1" si="5"/>
        <v/>
      </c>
      <c r="U21" s="596" t="str">
        <f t="shared" ca="1" si="1"/>
        <v/>
      </c>
      <c r="V21" s="597" t="str">
        <f t="shared" ca="1" si="2"/>
        <v/>
      </c>
      <c r="W21" s="598" t="str">
        <f t="shared" ca="1" si="3"/>
        <v/>
      </c>
      <c r="X21" s="599" t="str">
        <f t="shared" ca="1" si="4"/>
        <v/>
      </c>
    </row>
    <row r="22" spans="4:35" ht="16.149999999999999" customHeight="1" thickTop="1" thickBot="1" x14ac:dyDescent="0.25">
      <c r="D22" s="119"/>
      <c r="E22" s="200">
        <v>0</v>
      </c>
      <c r="F22" s="201" t="str">
        <f t="shared" ca="1" si="0"/>
        <v>£M</v>
      </c>
      <c r="G22" s="596">
        <f ca="1"/>
        <v>0</v>
      </c>
      <c r="H22" s="596">
        <f ca="1"/>
        <v>0</v>
      </c>
      <c r="I22" s="596">
        <f ca="1"/>
        <v>0</v>
      </c>
      <c r="J22" s="597">
        <f ca="1"/>
        <v>0</v>
      </c>
      <c r="K22" s="597">
        <f ca="1"/>
        <v>0</v>
      </c>
      <c r="L22" s="597">
        <f ca="1"/>
        <v>0</v>
      </c>
      <c r="M22" s="598">
        <f ca="1"/>
        <v>0</v>
      </c>
      <c r="N22" s="598">
        <f ca="1"/>
        <v>0</v>
      </c>
      <c r="O22" s="598">
        <f ca="1"/>
        <v>0</v>
      </c>
      <c r="P22" s="599">
        <f ca="1"/>
        <v>0</v>
      </c>
      <c r="Q22" s="599">
        <f ca="1"/>
        <v>0</v>
      </c>
      <c r="R22" s="599">
        <f ca="1"/>
        <v>0</v>
      </c>
      <c r="S22" s="600">
        <f ca="1"/>
        <v>0</v>
      </c>
      <c r="T22" s="202" t="str">
        <f t="shared" ca="1" si="5"/>
        <v/>
      </c>
      <c r="U22" s="596" t="str">
        <f t="shared" ca="1" si="1"/>
        <v/>
      </c>
      <c r="V22" s="597" t="str">
        <f t="shared" ca="1" si="2"/>
        <v/>
      </c>
      <c r="W22" s="598" t="str">
        <f t="shared" ca="1" si="3"/>
        <v/>
      </c>
      <c r="X22" s="599" t="str">
        <f t="shared" ca="1" si="4"/>
        <v/>
      </c>
    </row>
    <row r="23" spans="4:35" ht="16.149999999999999" customHeight="1" thickTop="1" thickBot="1" x14ac:dyDescent="0.25">
      <c r="D23" s="119"/>
      <c r="E23" s="200">
        <v>0</v>
      </c>
      <c r="F23" s="201" t="str">
        <f t="shared" ca="1" si="0"/>
        <v>£M</v>
      </c>
      <c r="G23" s="596">
        <f ca="1"/>
        <v>0</v>
      </c>
      <c r="H23" s="596">
        <f ca="1"/>
        <v>0</v>
      </c>
      <c r="I23" s="596">
        <f ca="1"/>
        <v>0</v>
      </c>
      <c r="J23" s="597">
        <f ca="1"/>
        <v>0</v>
      </c>
      <c r="K23" s="597">
        <f ca="1"/>
        <v>0</v>
      </c>
      <c r="L23" s="597">
        <f ca="1"/>
        <v>0</v>
      </c>
      <c r="M23" s="598">
        <f ca="1"/>
        <v>0</v>
      </c>
      <c r="N23" s="598">
        <f ca="1"/>
        <v>0</v>
      </c>
      <c r="O23" s="598">
        <f ca="1"/>
        <v>0</v>
      </c>
      <c r="P23" s="599">
        <f ca="1"/>
        <v>0</v>
      </c>
      <c r="Q23" s="599">
        <f ca="1"/>
        <v>0</v>
      </c>
      <c r="R23" s="599">
        <f ca="1"/>
        <v>0</v>
      </c>
      <c r="S23" s="600">
        <f ca="1"/>
        <v>0</v>
      </c>
      <c r="T23" s="202" t="str">
        <f t="shared" ca="1" si="5"/>
        <v/>
      </c>
      <c r="U23" s="596" t="str">
        <f t="shared" ca="1" si="1"/>
        <v/>
      </c>
      <c r="V23" s="597" t="str">
        <f t="shared" ca="1" si="2"/>
        <v/>
      </c>
      <c r="W23" s="598" t="str">
        <f t="shared" ca="1" si="3"/>
        <v/>
      </c>
      <c r="X23" s="599" t="str">
        <f t="shared" ca="1" si="4"/>
        <v/>
      </c>
    </row>
    <row r="24" spans="4:35" ht="16.149999999999999" customHeight="1" thickTop="1" thickBot="1" x14ac:dyDescent="0.25">
      <c r="D24" s="119"/>
      <c r="E24" s="200">
        <v>0</v>
      </c>
      <c r="F24" s="201" t="str">
        <f t="shared" ca="1" si="0"/>
        <v>£M</v>
      </c>
      <c r="G24" s="596">
        <f ca="1"/>
        <v>0</v>
      </c>
      <c r="H24" s="596">
        <f ca="1"/>
        <v>0</v>
      </c>
      <c r="I24" s="596">
        <f ca="1"/>
        <v>0</v>
      </c>
      <c r="J24" s="597">
        <f ca="1"/>
        <v>0</v>
      </c>
      <c r="K24" s="597">
        <f ca="1"/>
        <v>0</v>
      </c>
      <c r="L24" s="597">
        <f ca="1"/>
        <v>0</v>
      </c>
      <c r="M24" s="598">
        <f ca="1"/>
        <v>0</v>
      </c>
      <c r="N24" s="598">
        <f ca="1"/>
        <v>0</v>
      </c>
      <c r="O24" s="598">
        <f ca="1"/>
        <v>0</v>
      </c>
      <c r="P24" s="599">
        <f ca="1"/>
        <v>0</v>
      </c>
      <c r="Q24" s="599">
        <f ca="1"/>
        <v>0</v>
      </c>
      <c r="R24" s="599">
        <f ca="1"/>
        <v>0</v>
      </c>
      <c r="S24" s="600">
        <f ca="1"/>
        <v>0</v>
      </c>
      <c r="T24" s="202" t="str">
        <f t="shared" ca="1" si="5"/>
        <v/>
      </c>
      <c r="U24" s="596" t="str">
        <f t="shared" ca="1" si="1"/>
        <v/>
      </c>
      <c r="V24" s="597" t="str">
        <f t="shared" ca="1" si="2"/>
        <v/>
      </c>
      <c r="W24" s="598" t="str">
        <f t="shared" ca="1" si="3"/>
        <v/>
      </c>
      <c r="X24" s="599" t="str">
        <f t="shared" ca="1" si="4"/>
        <v/>
      </c>
    </row>
    <row r="25" spans="4:35" ht="16.149999999999999" customHeight="1" thickTop="1" thickBot="1" x14ac:dyDescent="0.25">
      <c r="D25" s="119"/>
      <c r="E25" s="200">
        <v>0</v>
      </c>
      <c r="F25" s="201" t="str">
        <f t="shared" ca="1" si="0"/>
        <v>£M</v>
      </c>
      <c r="G25" s="596">
        <f ca="1"/>
        <v>0</v>
      </c>
      <c r="H25" s="596">
        <f ca="1"/>
        <v>0</v>
      </c>
      <c r="I25" s="596">
        <f ca="1"/>
        <v>0</v>
      </c>
      <c r="J25" s="597">
        <f ca="1"/>
        <v>0</v>
      </c>
      <c r="K25" s="597">
        <f ca="1"/>
        <v>0</v>
      </c>
      <c r="L25" s="597">
        <f ca="1"/>
        <v>0</v>
      </c>
      <c r="M25" s="598">
        <f ca="1"/>
        <v>0</v>
      </c>
      <c r="N25" s="598">
        <f ca="1"/>
        <v>0</v>
      </c>
      <c r="O25" s="598">
        <f ca="1"/>
        <v>0</v>
      </c>
      <c r="P25" s="599">
        <f ca="1"/>
        <v>0</v>
      </c>
      <c r="Q25" s="599">
        <f ca="1"/>
        <v>0</v>
      </c>
      <c r="R25" s="599">
        <f ca="1"/>
        <v>0</v>
      </c>
      <c r="S25" s="600">
        <f ca="1"/>
        <v>0</v>
      </c>
      <c r="T25" s="202" t="str">
        <f t="shared" ca="1" si="5"/>
        <v/>
      </c>
      <c r="U25" s="596" t="str">
        <f t="shared" ca="1" si="1"/>
        <v/>
      </c>
      <c r="V25" s="597" t="str">
        <f t="shared" ca="1" si="2"/>
        <v/>
      </c>
      <c r="W25" s="598" t="str">
        <f t="shared" ca="1" si="3"/>
        <v/>
      </c>
      <c r="X25" s="599" t="str">
        <f t="shared" ca="1" si="4"/>
        <v/>
      </c>
    </row>
    <row r="26" spans="4:35" ht="16.149999999999999" customHeight="1" thickTop="1" thickBot="1" x14ac:dyDescent="0.25">
      <c r="D26" s="119"/>
      <c r="E26" s="200">
        <v>0</v>
      </c>
      <c r="F26" s="201" t="str">
        <f t="shared" ref="F26:F27" ca="1" si="6">$F$30</f>
        <v>£M</v>
      </c>
      <c r="G26" s="596">
        <f ca="1"/>
        <v>0</v>
      </c>
      <c r="H26" s="596">
        <f ca="1"/>
        <v>0</v>
      </c>
      <c r="I26" s="596">
        <f ca="1"/>
        <v>0</v>
      </c>
      <c r="J26" s="597">
        <f ca="1"/>
        <v>0</v>
      </c>
      <c r="K26" s="597">
        <f ca="1"/>
        <v>0</v>
      </c>
      <c r="L26" s="597">
        <f ca="1"/>
        <v>0</v>
      </c>
      <c r="M26" s="598">
        <f ca="1"/>
        <v>0</v>
      </c>
      <c r="N26" s="598">
        <f ca="1"/>
        <v>0</v>
      </c>
      <c r="O26" s="598">
        <f ca="1"/>
        <v>0</v>
      </c>
      <c r="P26" s="599">
        <f ca="1"/>
        <v>0</v>
      </c>
      <c r="Q26" s="599">
        <f ca="1"/>
        <v>0</v>
      </c>
      <c r="R26" s="599">
        <f ca="1"/>
        <v>0</v>
      </c>
      <c r="S26" s="600">
        <f ca="1"/>
        <v>0</v>
      </c>
      <c r="T26" s="202" t="str">
        <f t="shared" ca="1" si="5"/>
        <v/>
      </c>
      <c r="U26" s="596" t="str">
        <f t="shared" ca="1" si="1"/>
        <v/>
      </c>
      <c r="V26" s="597" t="str">
        <f t="shared" ca="1" si="2"/>
        <v/>
      </c>
      <c r="W26" s="598" t="str">
        <f t="shared" ca="1" si="3"/>
        <v/>
      </c>
      <c r="X26" s="599" t="str">
        <f t="shared" ca="1" si="4"/>
        <v/>
      </c>
    </row>
    <row r="27" spans="4:35" ht="16.149999999999999" customHeight="1" thickTop="1" thickBot="1" x14ac:dyDescent="0.25">
      <c r="D27" s="119"/>
      <c r="E27" s="200">
        <v>0</v>
      </c>
      <c r="F27" s="201" t="str">
        <f t="shared" ca="1" si="6"/>
        <v>£M</v>
      </c>
      <c r="G27" s="596">
        <f ca="1"/>
        <v>0</v>
      </c>
      <c r="H27" s="596">
        <f ca="1"/>
        <v>0</v>
      </c>
      <c r="I27" s="596">
        <f ca="1"/>
        <v>0</v>
      </c>
      <c r="J27" s="597">
        <f ca="1"/>
        <v>0</v>
      </c>
      <c r="K27" s="597">
        <f ca="1"/>
        <v>0</v>
      </c>
      <c r="L27" s="597">
        <f ca="1"/>
        <v>0</v>
      </c>
      <c r="M27" s="598">
        <f ca="1"/>
        <v>0</v>
      </c>
      <c r="N27" s="598">
        <f ca="1"/>
        <v>0</v>
      </c>
      <c r="O27" s="598">
        <f ca="1"/>
        <v>0</v>
      </c>
      <c r="P27" s="599">
        <f ca="1"/>
        <v>0</v>
      </c>
      <c r="Q27" s="599">
        <f ca="1"/>
        <v>0</v>
      </c>
      <c r="R27" s="599">
        <f ca="1"/>
        <v>0</v>
      </c>
      <c r="S27" s="600">
        <f ca="1"/>
        <v>0</v>
      </c>
      <c r="T27" s="202" t="str">
        <f t="shared" ca="1" si="5"/>
        <v/>
      </c>
      <c r="U27" s="596" t="str">
        <f ca="1">IF(SUM(G27:I27)=0,"",SUM(G27:I27))</f>
        <v/>
      </c>
      <c r="V27" s="597" t="str">
        <f ca="1">IF(SUM(J27:L27)=0,"",SUM(J27:L27))</f>
        <v/>
      </c>
      <c r="W27" s="598" t="str">
        <f ca="1">IF(SUM(M27:O27)=0,"",SUM(M27:O27))</f>
        <v/>
      </c>
      <c r="X27" s="599" t="str">
        <f ca="1">IF(SUM(P27:R27)=0,"",SUM(P27:R27))</f>
        <v/>
      </c>
    </row>
    <row r="28" spans="4:35" ht="16.149999999999999" customHeight="1" thickTop="1" thickBot="1" x14ac:dyDescent="0.25">
      <c r="D28" s="119"/>
      <c r="E28" s="807" t="str">
        <f ca="1">$A$1&amp;IF(REP.indexed="YES"," - INDEXED TO "&amp;MAX(REP.yearsrange)," - IN HISTORIC PRICES")</f>
        <v>ECONOMIC IMPACT - IN HISTORIC PRICES</v>
      </c>
      <c r="F28" s="806"/>
      <c r="G28" s="806"/>
      <c r="H28" s="806"/>
      <c r="I28" s="806"/>
      <c r="J28" s="806"/>
      <c r="K28" s="806"/>
      <c r="L28" s="806"/>
      <c r="M28" s="806"/>
      <c r="N28" s="806"/>
      <c r="O28" s="806"/>
      <c r="P28" s="806"/>
      <c r="Q28" s="806"/>
      <c r="R28" s="806"/>
      <c r="S28" s="807" t="str">
        <f>UPPER(TYPE.userselected)</f>
        <v>TOTAL</v>
      </c>
      <c r="T28" s="806"/>
      <c r="U28" s="806"/>
      <c r="V28" s="806"/>
      <c r="W28" s="806"/>
      <c r="X28" s="808"/>
    </row>
    <row r="29" spans="4:35" ht="16.149999999999999" customHeight="1" thickTop="1" thickBot="1" x14ac:dyDescent="0.25">
      <c r="D29" s="203" t="str">
        <f t="shared" ref="D29:D35" ca="1" si="7">"'"&amp;$A$1&amp;"'!"&amp;CELL("address",G29)&amp;":"&amp;CELL("address",OFFSET(G29,0,YEARSINREP-1))</f>
        <v>'ECONOMIC IMPACT'!$G$29:$K$29</v>
      </c>
      <c r="E29" s="896" t="s">
        <v>122</v>
      </c>
      <c r="F29" s="897"/>
      <c r="G29" s="204">
        <f t="array" ref="G29:R29">TRANSPOSE(REP.yearsrange)</f>
        <v>2009</v>
      </c>
      <c r="H29" s="204">
        <v>2010</v>
      </c>
      <c r="I29" s="205">
        <v>2011</v>
      </c>
      <c r="J29" s="205">
        <v>2012</v>
      </c>
      <c r="K29" s="205">
        <v>2013</v>
      </c>
      <c r="L29" s="205">
        <v>0</v>
      </c>
      <c r="M29" s="205">
        <v>0</v>
      </c>
      <c r="N29" s="205">
        <v>0</v>
      </c>
      <c r="O29" s="205">
        <v>0</v>
      </c>
      <c r="P29" s="205">
        <v>0</v>
      </c>
      <c r="Q29" s="205">
        <v>0</v>
      </c>
      <c r="R29" s="205">
        <v>0</v>
      </c>
      <c r="S29" s="205"/>
      <c r="T29" s="206"/>
      <c r="U29" s="206"/>
      <c r="V29" s="206"/>
      <c r="W29" s="206"/>
      <c r="X29" s="206"/>
      <c r="Z29" s="83"/>
      <c r="AA29" s="83"/>
      <c r="AB29" s="83"/>
      <c r="AC29" s="83"/>
      <c r="AD29" s="83"/>
      <c r="AE29" s="83"/>
      <c r="AF29" s="83"/>
      <c r="AG29" s="83"/>
      <c r="AH29" s="83"/>
      <c r="AI29" s="83"/>
    </row>
    <row r="30" spans="4:35" ht="16.149999999999999" customHeight="1" thickTop="1" thickBot="1" x14ac:dyDescent="0.25">
      <c r="D30" s="203" t="str">
        <f t="shared" ca="1" si="7"/>
        <v>'ECONOMIC IMPACT'!$G$30:$K$30</v>
      </c>
      <c r="E30" s="207" t="str">
        <f>IF(TYPE.userselected="SFR",TYPE.userselected,PROPER(VISTYPE.short))</f>
        <v>Total</v>
      </c>
      <c r="F30" s="201" t="str">
        <f ca="1">F16</f>
        <v>£M</v>
      </c>
      <c r="G30" s="601">
        <f t="array" aca="1" ref="G30:R30" ca="1">EI.SHARE_VT_ANN</f>
        <v>80.142004810397211</v>
      </c>
      <c r="H30" s="601">
        <f ca="1"/>
        <v>84.54841228829541</v>
      </c>
      <c r="I30" s="601">
        <f ca="1"/>
        <v>84.283986454422703</v>
      </c>
      <c r="J30" s="601">
        <f ca="1"/>
        <v>87.111745647923485</v>
      </c>
      <c r="K30" s="601">
        <f ca="1"/>
        <v>94.627891540846761</v>
      </c>
      <c r="L30" s="601" t="str">
        <f ca="1"/>
        <v/>
      </c>
      <c r="M30" s="601" t="str">
        <f ca="1"/>
        <v/>
      </c>
      <c r="N30" s="601" t="str">
        <f ca="1"/>
        <v/>
      </c>
      <c r="O30" s="601" t="str">
        <f ca="1"/>
        <v/>
      </c>
      <c r="P30" s="601" t="str">
        <f ca="1"/>
        <v/>
      </c>
      <c r="Q30" s="601" t="str">
        <f ca="1"/>
        <v/>
      </c>
      <c r="R30" s="601" t="str">
        <f ca="1"/>
        <v/>
      </c>
      <c r="S30" s="208"/>
      <c r="T30" s="206"/>
      <c r="U30" s="206"/>
      <c r="V30" s="206"/>
      <c r="W30" s="206"/>
      <c r="X30" s="206"/>
    </row>
    <row r="31" spans="4:35" ht="16.149999999999999" customHeight="1" thickTop="1" thickBot="1" x14ac:dyDescent="0.25">
      <c r="D31" s="203" t="str">
        <f t="shared" ca="1" si="7"/>
        <v>'ECONOMIC IMPACT'!$G$31:$K$31</v>
      </c>
      <c r="E31" s="207" t="s">
        <v>98</v>
      </c>
      <c r="F31" s="201" t="str">
        <f>IF($A$4=1,"£000s",IF(A4=1000,"£M","£Bn"))</f>
        <v>£M</v>
      </c>
      <c r="G31" s="602">
        <f t="array" aca="1" ref="G31:R31" ca="1">EI.SHARE_TOTAL_ANN</f>
        <v>80.142004810397211</v>
      </c>
      <c r="H31" s="602">
        <f ca="1"/>
        <v>84.54841228829541</v>
      </c>
      <c r="I31" s="602">
        <f ca="1"/>
        <v>84.283986454422703</v>
      </c>
      <c r="J31" s="602">
        <f ca="1"/>
        <v>87.111745647923485</v>
      </c>
      <c r="K31" s="602">
        <f ca="1"/>
        <v>94.627891540846761</v>
      </c>
      <c r="L31" s="602" t="str">
        <f ca="1"/>
        <v/>
      </c>
      <c r="M31" s="602" t="str">
        <f ca="1"/>
        <v/>
      </c>
      <c r="N31" s="602" t="str">
        <f ca="1"/>
        <v/>
      </c>
      <c r="O31" s="602" t="str">
        <f ca="1"/>
        <v/>
      </c>
      <c r="P31" s="602" t="str">
        <f ca="1"/>
        <v/>
      </c>
      <c r="Q31" s="602" t="str">
        <f ca="1"/>
        <v/>
      </c>
      <c r="R31" s="602" t="str">
        <f ca="1"/>
        <v/>
      </c>
      <c r="S31" s="209"/>
      <c r="T31" s="206"/>
      <c r="U31" s="206"/>
      <c r="V31" s="206"/>
      <c r="W31" s="206"/>
      <c r="X31" s="206"/>
    </row>
    <row r="32" spans="4:35" ht="16.149999999999999" customHeight="1" thickTop="1" thickBot="1" x14ac:dyDescent="0.25">
      <c r="D32" s="203" t="str">
        <f t="shared" ca="1" si="7"/>
        <v>'ECONOMIC IMPACT'!$G$32:$K$32</v>
      </c>
      <c r="E32" s="207" t="s">
        <v>123</v>
      </c>
      <c r="F32" s="201" t="s">
        <v>119</v>
      </c>
      <c r="G32" s="142">
        <f t="array" aca="1" ref="G32:R32" ca="1">IFERROR((EI.SHARE_VT_ANN*$A$2)/(EI.SHARE_TOTAL_ANN*$A$4),"")</f>
        <v>1</v>
      </c>
      <c r="H32" s="142">
        <f ca="1"/>
        <v>1</v>
      </c>
      <c r="I32" s="142">
        <f ca="1"/>
        <v>1</v>
      </c>
      <c r="J32" s="142">
        <f ca="1"/>
        <v>1</v>
      </c>
      <c r="K32" s="142">
        <f ca="1"/>
        <v>1</v>
      </c>
      <c r="L32" s="142" t="str">
        <f ca="1"/>
        <v/>
      </c>
      <c r="M32" s="142" t="str">
        <f ca="1"/>
        <v/>
      </c>
      <c r="N32" s="142" t="str">
        <f ca="1"/>
        <v/>
      </c>
      <c r="O32" s="142" t="str">
        <f ca="1"/>
        <v/>
      </c>
      <c r="P32" s="142" t="str">
        <f ca="1"/>
        <v/>
      </c>
      <c r="Q32" s="142" t="str">
        <f ca="1"/>
        <v/>
      </c>
      <c r="R32" s="142" t="str">
        <f ca="1"/>
        <v/>
      </c>
      <c r="S32" s="142"/>
      <c r="T32" s="206"/>
      <c r="U32" s="206"/>
      <c r="V32" s="206"/>
      <c r="W32" s="206"/>
      <c r="X32" s="206"/>
    </row>
    <row r="33" spans="4:24" ht="16.149999999999999" customHeight="1" thickTop="1" thickBot="1" x14ac:dyDescent="0.25">
      <c r="D33" s="203" t="str">
        <f t="shared" ca="1" si="7"/>
        <v>'ECONOMIC IMPACT'!$G$33:$K$33</v>
      </c>
      <c r="E33" s="207" t="s">
        <v>124</v>
      </c>
      <c r="F33" s="201" t="s">
        <v>119</v>
      </c>
      <c r="G33" s="202">
        <f ca="1">G32/G32-1</f>
        <v>0</v>
      </c>
      <c r="H33" s="142">
        <f ca="1">IFERROR(H32/G32-1,"")</f>
        <v>0</v>
      </c>
      <c r="I33" s="142">
        <f t="shared" ref="I33:R33" ca="1" si="8">IFERROR(I32/H32-1,"")</f>
        <v>0</v>
      </c>
      <c r="J33" s="142">
        <f t="shared" ca="1" si="8"/>
        <v>0</v>
      </c>
      <c r="K33" s="142">
        <f t="shared" ca="1" si="8"/>
        <v>0</v>
      </c>
      <c r="L33" s="142" t="str">
        <f t="shared" ca="1" si="8"/>
        <v/>
      </c>
      <c r="M33" s="142" t="str">
        <f t="shared" ca="1" si="8"/>
        <v/>
      </c>
      <c r="N33" s="142" t="str">
        <f t="shared" ca="1" si="8"/>
        <v/>
      </c>
      <c r="O33" s="142" t="str">
        <f t="shared" ca="1" si="8"/>
        <v/>
      </c>
      <c r="P33" s="142" t="str">
        <f t="shared" ca="1" si="8"/>
        <v/>
      </c>
      <c r="Q33" s="142" t="str">
        <f t="shared" ca="1" si="8"/>
        <v/>
      </c>
      <c r="R33" s="142" t="str">
        <f t="shared" ca="1" si="8"/>
        <v/>
      </c>
      <c r="S33" s="142"/>
      <c r="T33" s="206"/>
      <c r="U33" s="206"/>
      <c r="V33" s="206"/>
      <c r="W33" s="206"/>
      <c r="X33" s="206"/>
    </row>
    <row r="34" spans="4:24" ht="16.149999999999999" customHeight="1" thickTop="1" thickBot="1" x14ac:dyDescent="0.25">
      <c r="D34" s="203" t="str">
        <f t="shared" ca="1" si="7"/>
        <v>'ECONOMIC IMPACT'!$G$34:$K$34</v>
      </c>
      <c r="E34" s="207" t="str">
        <f>"Change in Share from "&amp;MIN(REP.yearsrange)</f>
        <v>Change in Share from 2009</v>
      </c>
      <c r="F34" s="201" t="s">
        <v>119</v>
      </c>
      <c r="G34" s="202">
        <f ca="1">G32/$G$32-1</f>
        <v>0</v>
      </c>
      <c r="H34" s="142">
        <f t="shared" ref="H34:R34" ca="1" si="9">IFERROR(H32/$G$32-1,"")</f>
        <v>0</v>
      </c>
      <c r="I34" s="142">
        <f t="shared" ca="1" si="9"/>
        <v>0</v>
      </c>
      <c r="J34" s="142">
        <f t="shared" ca="1" si="9"/>
        <v>0</v>
      </c>
      <c r="K34" s="142">
        <f t="shared" ca="1" si="9"/>
        <v>0</v>
      </c>
      <c r="L34" s="142" t="str">
        <f t="shared" ca="1" si="9"/>
        <v/>
      </c>
      <c r="M34" s="142" t="str">
        <f t="shared" ca="1" si="9"/>
        <v/>
      </c>
      <c r="N34" s="142" t="str">
        <f t="shared" ca="1" si="9"/>
        <v/>
      </c>
      <c r="O34" s="142" t="str">
        <f t="shared" ca="1" si="9"/>
        <v/>
      </c>
      <c r="P34" s="142" t="str">
        <f t="shared" ca="1" si="9"/>
        <v/>
      </c>
      <c r="Q34" s="142" t="str">
        <f t="shared" ca="1" si="9"/>
        <v/>
      </c>
      <c r="R34" s="142" t="str">
        <f t="shared" ca="1" si="9"/>
        <v/>
      </c>
      <c r="S34" s="142"/>
      <c r="T34" s="206"/>
      <c r="U34" s="206"/>
      <c r="V34" s="206"/>
      <c r="W34" s="206"/>
      <c r="X34" s="206"/>
    </row>
    <row r="35" spans="4:24" ht="16.149999999999999" customHeight="1" thickTop="1" thickBot="1" x14ac:dyDescent="0.25">
      <c r="D35" s="203" t="str">
        <f t="shared" ca="1" si="7"/>
        <v>'ECONOMIC IMPACT'!$G$35:$K$35</v>
      </c>
      <c r="E35" s="207" t="s">
        <v>149</v>
      </c>
      <c r="F35" s="201" t="s">
        <v>119</v>
      </c>
      <c r="G35" s="202" t="str">
        <f ca="1">IFERROR(G34/(COUNT($G29:G29)-1),"")</f>
        <v/>
      </c>
      <c r="H35" s="142">
        <f ca="1">IFERROR(H34/(COUNT($G29:H29)-1),"")</f>
        <v>0</v>
      </c>
      <c r="I35" s="142">
        <f ca="1">IFERROR(I34/(COUNT($G29:I29)-1),"")</f>
        <v>0</v>
      </c>
      <c r="J35" s="142">
        <f ca="1">IFERROR(J34/(COUNT($G29:J29)-1),"")</f>
        <v>0</v>
      </c>
      <c r="K35" s="142">
        <f ca="1">IFERROR(K34/(COUNT($G29:K29)-1),"")</f>
        <v>0</v>
      </c>
      <c r="L35" s="142" t="str">
        <f ca="1">IFERROR(L34/(COUNT($G29:L29)-1),"")</f>
        <v/>
      </c>
      <c r="M35" s="142" t="str">
        <f ca="1">IFERROR(M34/(COUNT($G29:M29)-1),"")</f>
        <v/>
      </c>
      <c r="N35" s="142" t="str">
        <f ca="1">IFERROR(N34/(COUNT($G29:N29)-1),"")</f>
        <v/>
      </c>
      <c r="O35" s="142" t="str">
        <f ca="1">IFERROR(O34/(COUNT($G29:O29)-1),"")</f>
        <v/>
      </c>
      <c r="P35" s="142" t="str">
        <f ca="1">IFERROR(P34/(COUNT($G29:P29)-1),"")</f>
        <v/>
      </c>
      <c r="Q35" s="142" t="str">
        <f ca="1">IFERROR(Q34/(COUNT($G29:Q29)-1),"")</f>
        <v/>
      </c>
      <c r="R35" s="142" t="str">
        <f ca="1">IFERROR(R34/(COUNT($G29:R29)-1),"")</f>
        <v/>
      </c>
      <c r="S35" s="142"/>
      <c r="T35" s="206"/>
      <c r="U35" s="206"/>
      <c r="V35" s="206"/>
      <c r="W35" s="206"/>
      <c r="X35" s="206"/>
    </row>
    <row r="36" spans="4:24" ht="16.149999999999999" customHeight="1" thickTop="1" thickBot="1" x14ac:dyDescent="0.25">
      <c r="D36" s="203"/>
      <c r="E36" s="670"/>
      <c r="F36" s="274"/>
      <c r="G36" s="202"/>
      <c r="H36" s="142"/>
      <c r="I36" s="142"/>
      <c r="J36" s="142"/>
      <c r="K36" s="142"/>
      <c r="L36" s="142"/>
      <c r="M36" s="142"/>
      <c r="N36" s="142"/>
      <c r="O36" s="142"/>
      <c r="P36" s="142"/>
      <c r="Q36" s="142"/>
      <c r="R36" s="142"/>
      <c r="S36" s="142"/>
      <c r="T36" s="206"/>
      <c r="U36" s="206"/>
      <c r="V36" s="206"/>
      <c r="W36" s="206"/>
      <c r="X36" s="206"/>
    </row>
    <row r="37" spans="4:24" ht="16.149999999999999" customHeight="1" thickTop="1" thickBot="1" x14ac:dyDescent="0.25">
      <c r="D37" s="119"/>
      <c r="E37" s="210"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136"/>
      <c r="G37" s="136"/>
      <c r="H37" s="136"/>
      <c r="I37" s="136"/>
      <c r="J37" s="136"/>
      <c r="K37" s="136"/>
      <c r="L37" s="136"/>
      <c r="M37" s="136"/>
      <c r="N37" s="136"/>
      <c r="O37" s="136"/>
      <c r="P37" s="136"/>
      <c r="Q37" s="136"/>
      <c r="R37" s="136"/>
      <c r="S37" s="206"/>
      <c r="T37" s="206"/>
      <c r="U37" s="206"/>
      <c r="V37" s="206"/>
      <c r="W37" s="206"/>
      <c r="X37" s="206"/>
    </row>
    <row r="38" spans="4:24" s="48"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83"/>
      <c r="H40" s="83"/>
      <c r="I40" s="83"/>
      <c r="J40" s="83"/>
      <c r="K40" s="83"/>
      <c r="L40" s="83"/>
      <c r="M40" s="83"/>
      <c r="N40" s="83"/>
      <c r="O40" s="83"/>
      <c r="P40" s="83"/>
      <c r="Q40" s="83"/>
      <c r="R40" s="83"/>
      <c r="S40" s="83"/>
      <c r="T40" s="83"/>
      <c r="U40" s="83"/>
      <c r="V40" s="83"/>
    </row>
    <row r="41" spans="4:24" ht="16.149999999999999" customHeight="1" x14ac:dyDescent="0.2">
      <c r="G41" s="83"/>
      <c r="H41" s="83"/>
      <c r="I41" s="83"/>
      <c r="J41" s="83"/>
      <c r="K41" s="83"/>
      <c r="L41" s="83"/>
      <c r="M41" s="83"/>
      <c r="N41" s="83"/>
      <c r="O41" s="83"/>
      <c r="P41" s="83"/>
      <c r="Q41" s="83"/>
      <c r="R41" s="83"/>
      <c r="S41" s="83"/>
      <c r="T41" s="83"/>
      <c r="U41" s="83"/>
      <c r="V41" s="83"/>
    </row>
    <row r="70" spans="7:23" ht="16.149999999999999" customHeight="1" x14ac:dyDescent="0.2">
      <c r="G70" s="45" t="s">
        <v>44</v>
      </c>
      <c r="H70" s="45" t="s">
        <v>44</v>
      </c>
      <c r="J70" s="45" t="s">
        <v>49</v>
      </c>
      <c r="K70" s="45" t="s">
        <v>49</v>
      </c>
      <c r="M70" s="45" t="s">
        <v>19</v>
      </c>
      <c r="N70" s="45" t="s">
        <v>19</v>
      </c>
      <c r="P70" s="45" t="s">
        <v>97</v>
      </c>
      <c r="S70" s="45" t="s">
        <v>73</v>
      </c>
      <c r="T70" s="45" t="s">
        <v>73</v>
      </c>
      <c r="V70" s="45" t="s">
        <v>55</v>
      </c>
      <c r="W70" s="45" t="s">
        <v>55</v>
      </c>
    </row>
  </sheetData>
  <sheetProtection algorithmName="SHA-512" hashValue="wmbJplobNQFVvbWag0AlN0eo8AIQJy9y3pjV0HRWtR4F1BSItD1B1PK3rzhMsW3V7g9L3m+D4q6NAXy57XKFbw==" saltValue="diX28QrRQB9FuzXd4LslFw==" spinCount="100000" sheet="1" objects="1" scenarios="1"/>
  <mergeCells count="27">
    <mergeCell ref="S6:T7"/>
    <mergeCell ref="U6:X7"/>
    <mergeCell ref="E29:F29"/>
    <mergeCell ref="E13:F13"/>
    <mergeCell ref="E14:F14"/>
    <mergeCell ref="E15:F15"/>
    <mergeCell ref="T13:T16"/>
    <mergeCell ref="E12:F12"/>
    <mergeCell ref="G9:R9"/>
    <mergeCell ref="G11:I11"/>
    <mergeCell ref="J11:L11"/>
    <mergeCell ref="M11:O11"/>
    <mergeCell ref="P11:R11"/>
    <mergeCell ref="P7:R7"/>
    <mergeCell ref="P6:R6"/>
    <mergeCell ref="E28:R28"/>
    <mergeCell ref="S28:X28"/>
    <mergeCell ref="T10:T12"/>
    <mergeCell ref="S8:T9"/>
    <mergeCell ref="E8:F8"/>
    <mergeCell ref="U8:X11"/>
    <mergeCell ref="S10:S12"/>
    <mergeCell ref="E9:F9"/>
    <mergeCell ref="E10:F10"/>
    <mergeCell ref="E11:F11"/>
    <mergeCell ref="G10:R10"/>
    <mergeCell ref="G8:R8"/>
  </mergeCells>
  <conditionalFormatting sqref="I29:Q29">
    <cfRule type="expression" dxfId="164" priority="39">
      <formula>I29=0</formula>
    </cfRule>
  </conditionalFormatting>
  <conditionalFormatting sqref="G33:Q34">
    <cfRule type="cellIs" dxfId="163" priority="37" operator="lessThanOrEqual">
      <formula>-REP.percenthighlight</formula>
    </cfRule>
    <cfRule type="cellIs" dxfId="162" priority="38" operator="greaterThanOrEqual">
      <formula>REP.percenthighlight</formula>
    </cfRule>
  </conditionalFormatting>
  <conditionalFormatting sqref="H35:Q36 G30:Q34">
    <cfRule type="expression" dxfId="161" priority="34" stopIfTrue="1">
      <formula>G$29=0</formula>
    </cfRule>
  </conditionalFormatting>
  <conditionalFormatting sqref="H35:Q36">
    <cfRule type="cellIs" dxfId="160" priority="35" operator="lessThanOrEqual">
      <formula>-REP.percenthighlight</formula>
    </cfRule>
    <cfRule type="cellIs" dxfId="159" priority="36" operator="greaterThanOrEqual">
      <formula>REP.percenthighlight</formula>
    </cfRule>
  </conditionalFormatting>
  <conditionalFormatting sqref="E17:X27 E16 G16:X16">
    <cfRule type="expression" dxfId="158" priority="19">
      <formula>$E16=0</formula>
    </cfRule>
  </conditionalFormatting>
  <conditionalFormatting sqref="R29:S29">
    <cfRule type="expression" dxfId="157" priority="28">
      <formula>R29=0</formula>
    </cfRule>
  </conditionalFormatting>
  <conditionalFormatting sqref="R33:S34">
    <cfRule type="cellIs" dxfId="156" priority="26" operator="lessThanOrEqual">
      <formula>-REP.percenthighlight</formula>
    </cfRule>
    <cfRule type="cellIs" dxfId="155" priority="27" operator="greaterThanOrEqual">
      <formula>REP.percenthighlight</formula>
    </cfRule>
  </conditionalFormatting>
  <conditionalFormatting sqref="R30:S36">
    <cfRule type="expression" dxfId="154" priority="23" stopIfTrue="1">
      <formula>R$29=0</formula>
    </cfRule>
  </conditionalFormatting>
  <conditionalFormatting sqref="R35:S36">
    <cfRule type="cellIs" dxfId="153" priority="24" operator="lessThanOrEqual">
      <formula>-REP.percenthighlight</formula>
    </cfRule>
    <cfRule type="cellIs" dxfId="152" priority="25" operator="greaterThanOrEqual">
      <formula>REP.percenthighlight</formula>
    </cfRule>
  </conditionalFormatting>
  <conditionalFormatting sqref="T17:T27">
    <cfRule type="cellIs" dxfId="151" priority="20" operator="greaterThanOrEqual">
      <formula>REP.percenthighlight</formula>
    </cfRule>
    <cfRule type="cellIs" dxfId="150" priority="32" operator="lessThanOrEqual">
      <formula>-REP.percenthighlight</formula>
    </cfRule>
  </conditionalFormatting>
  <conditionalFormatting sqref="G13:S15">
    <cfRule type="cellIs" dxfId="149" priority="17" operator="lessThanOrEqual">
      <formula>-REP.percenthighlight</formula>
    </cfRule>
    <cfRule type="cellIs" dxfId="148" priority="18" operator="greaterThanOrEqual">
      <formula>REP.percenthighlight</formula>
    </cfRule>
  </conditionalFormatting>
  <conditionalFormatting sqref="U13:X15">
    <cfRule type="cellIs" dxfId="147" priority="15" operator="lessThanOrEqual">
      <formula>-REP.percenthighlight</formula>
    </cfRule>
    <cfRule type="cellIs" dxfId="146" priority="16" operator="greaterThanOrEqual">
      <formula>REP.percenthighlight</formula>
    </cfRule>
  </conditionalFormatting>
  <conditionalFormatting sqref="F31">
    <cfRule type="expression" dxfId="145" priority="43">
      <formula>$E16=0</formula>
    </cfRule>
  </conditionalFormatting>
  <conditionalFormatting sqref="S6:T7 G9:R9 S28:X28">
    <cfRule type="expression" dxfId="144" priority="4">
      <formula>TYPE.no=6</formula>
    </cfRule>
    <cfRule type="expression" dxfId="143" priority="5">
      <formula>TYPE.no=5</formula>
    </cfRule>
    <cfRule type="expression" dxfId="142" priority="6">
      <formula>TYPE.no=4</formula>
    </cfRule>
    <cfRule type="expression" dxfId="141" priority="7">
      <formula>TYPE.no=3</formula>
    </cfRule>
    <cfRule type="expression" dxfId="140" priority="8">
      <formula>TYPE.no=2</formula>
    </cfRule>
    <cfRule type="expression" dxfId="139" priority="9">
      <formula>TYPE.no=1</formula>
    </cfRule>
  </conditionalFormatting>
  <conditionalFormatting sqref="F16">
    <cfRule type="expression" dxfId="138" priority="3">
      <formula>$E16=0</formula>
    </cfRule>
  </conditionalFormatting>
  <conditionalFormatting sqref="G16:S27 U16:X27 G30:R31 U16:X27 G30:R31">
    <cfRule type="expression" dxfId="137" priority="1">
      <formula>$A$2=1</formula>
    </cfRule>
  </conditionalFormatting>
  <conditionalFormatting sqref="G16:S27 U16:X27 G30:R31">
    <cfRule type="expression" dxfId="136" priority="2">
      <formula>AND($A$2&gt;1,G16&lt;10)</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0" r:id="rId4" name="Drop Down 16">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042" r:id="rId5" name="Drop Down 18">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044" r:id="rId6" name="Drop Down 20">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4">
    <tabColor rgb="FF00B050"/>
    <outlinePr showOutlineSymbols="0"/>
    <pageSetUpPr autoPageBreaks="0" fitToPage="1"/>
  </sheetPr>
  <dimension ref="A1:Y70"/>
  <sheetViews>
    <sheetView showGridLines="0" showRowColHeaders="0" showZeros="0" showOutlineSymbols="0" zoomScaleNormal="100" workbookViewId="0">
      <pane ySplit="7" topLeftCell="A8" activePane="bottomLeft" state="frozen"/>
      <selection activeCell="E10" sqref="E10:F10"/>
      <selection pane="bottomLeft" activeCell="E6" sqref="E6"/>
    </sheetView>
  </sheetViews>
  <sheetFormatPr defaultColWidth="4.85546875" defaultRowHeight="16.149999999999999" customHeight="1" x14ac:dyDescent="0.2"/>
  <cols>
    <col min="1" max="1" width="7" style="45" bestFit="1" customWidth="1"/>
    <col min="2" max="3" width="4.85546875" style="45"/>
    <col min="4" max="4" width="4.85546875" style="46"/>
    <col min="5" max="5" width="19.5703125" style="45" customWidth="1"/>
    <col min="6" max="6" width="5.140625" style="45" customWidth="1"/>
    <col min="7" max="24" width="7.28515625" style="45" customWidth="1"/>
    <col min="25" max="25" width="4.85546875" style="45"/>
    <col min="26" max="26" width="8.42578125" style="45" bestFit="1" customWidth="1"/>
    <col min="27" max="16384" width="4.85546875" style="45"/>
  </cols>
  <sheetData>
    <row r="1" spans="1:25" ht="16.149999999999999" hidden="1" customHeight="1" thickTop="1" thickBot="1" x14ac:dyDescent="0.25">
      <c r="A1" s="43" t="str">
        <f ca="1">MID(CELL("filename",A1),FIND("]",CELL("filename",A1))+1,255)</f>
        <v>VISITOR NUMBERS</v>
      </c>
      <c r="E1" s="59"/>
      <c r="F1" s="60"/>
      <c r="G1" s="60"/>
      <c r="H1" s="60"/>
      <c r="I1" s="60"/>
      <c r="J1" s="60"/>
      <c r="K1" s="60"/>
      <c r="L1" s="60"/>
      <c r="M1" s="60"/>
      <c r="N1" s="60"/>
      <c r="O1" s="60"/>
      <c r="P1" s="60"/>
      <c r="Q1" s="60"/>
      <c r="R1" s="60"/>
      <c r="S1" s="60"/>
      <c r="T1" s="60"/>
      <c r="U1" s="60"/>
      <c r="V1" s="60"/>
      <c r="W1" s="60"/>
      <c r="X1" s="61"/>
    </row>
    <row r="2" spans="1:25" ht="16.149999999999999" customHeight="1" thickTop="1" x14ac:dyDescent="0.2">
      <c r="A2" s="625">
        <f ca="1">IF(($A$3/1000000)&gt;1,1000000,IF(($A$3/1000)&gt;1,1000,1))</f>
        <v>1</v>
      </c>
      <c r="B2" s="625"/>
      <c r="C2" s="625"/>
      <c r="D2" s="629"/>
      <c r="E2" s="50"/>
      <c r="F2" s="51"/>
      <c r="G2" s="51"/>
      <c r="H2" s="51"/>
      <c r="I2" s="51"/>
      <c r="J2" s="51"/>
      <c r="K2" s="51"/>
      <c r="L2" s="51"/>
      <c r="M2" s="51"/>
      <c r="N2" s="51"/>
      <c r="O2" s="51"/>
      <c r="P2" s="51"/>
      <c r="Q2" s="51"/>
      <c r="R2" s="51"/>
      <c r="S2" s="51"/>
      <c r="T2" s="51"/>
      <c r="U2" s="51"/>
      <c r="V2" s="51"/>
      <c r="W2" s="51"/>
      <c r="X2" s="52"/>
    </row>
    <row r="3" spans="1:25" ht="26.45" customHeight="1" x14ac:dyDescent="0.2">
      <c r="A3" s="625">
        <f t="array" aca="1" ref="A3" ca="1">IFERROR(AVERAGE(IF(TYPE.no=5,(INDEX(DATA!T:T,MATCH(REP.yearsrange&amp;"."&amp;'VISITOR NUMBERS'!$A$1&amp;"."&amp;TOTAL,REP.lookup,0))-INDEX(DATA!T:T,MATCH(REP.yearsrange&amp;"."&amp;'VISITOR NUMBERS'!$A$1&amp;"."&amp;DV,REP.lookup,0))),INDEX(DATA!T:T,MATCH(REP.yearsrange&amp;"."&amp;'VISITOR NUMBERS'!$A$1&amp;"."&amp;TYPE.userselected,REP.lookup,0)))),0)</f>
        <v>629.52525395568227</v>
      </c>
      <c r="B3" s="625"/>
      <c r="C3" s="625"/>
      <c r="D3" s="629"/>
      <c r="E3" s="53"/>
      <c r="F3" s="49"/>
      <c r="G3" s="49"/>
      <c r="H3" s="49"/>
      <c r="I3" s="49"/>
      <c r="J3" s="49"/>
      <c r="K3" s="49"/>
      <c r="L3" s="49"/>
      <c r="M3" s="49"/>
      <c r="N3" s="49"/>
      <c r="O3" s="49"/>
      <c r="P3" s="49"/>
      <c r="Q3" s="49"/>
      <c r="R3" s="49"/>
      <c r="S3" s="49"/>
      <c r="T3" s="49"/>
      <c r="U3" s="49"/>
      <c r="V3" s="49"/>
      <c r="W3" s="49"/>
      <c r="X3" s="54"/>
    </row>
    <row r="4" spans="1:25" ht="26.45" customHeight="1" x14ac:dyDescent="0.2">
      <c r="A4" s="625">
        <f>IF(($A$5/1000000)&gt;1,1000000,IF(($A$5/1000)&gt;1,1000,1))</f>
        <v>1</v>
      </c>
      <c r="B4" s="625"/>
      <c r="C4" s="625"/>
      <c r="D4" s="629"/>
      <c r="E4" s="64"/>
      <c r="F4" s="65"/>
      <c r="G4" s="65"/>
      <c r="H4" s="65"/>
      <c r="I4" s="65"/>
      <c r="J4" s="65"/>
      <c r="K4" s="65"/>
      <c r="L4" s="65"/>
      <c r="M4" s="65"/>
      <c r="N4" s="65"/>
      <c r="O4" s="65"/>
      <c r="P4" s="65"/>
      <c r="Q4" s="65"/>
      <c r="R4" s="65"/>
      <c r="S4" s="65"/>
      <c r="T4" s="65"/>
      <c r="U4" s="65"/>
      <c r="V4" s="65"/>
      <c r="W4" s="65"/>
      <c r="X4" s="66"/>
    </row>
    <row r="5" spans="1:25" ht="26.45" customHeight="1" thickBot="1" x14ac:dyDescent="0.25">
      <c r="A5" s="625">
        <f>VLOOKUP(FOCUSYEAR&amp;".VISITOR NUMBERS.TOTAL",REP.data,18,FALSE)</f>
        <v>700.77906247732744</v>
      </c>
      <c r="B5" s="625"/>
      <c r="C5" s="625"/>
      <c r="D5" s="629"/>
      <c r="E5" s="56"/>
      <c r="F5" s="57"/>
      <c r="G5" s="57"/>
      <c r="H5" s="57"/>
      <c r="I5" s="57"/>
      <c r="J5" s="57"/>
      <c r="K5" s="57"/>
      <c r="L5" s="57"/>
      <c r="M5" s="57"/>
      <c r="N5" s="57"/>
      <c r="O5" s="57"/>
      <c r="P5" s="57"/>
      <c r="Q5" s="57"/>
      <c r="R5" s="57"/>
      <c r="S5" s="57"/>
      <c r="T5" s="57"/>
      <c r="U5" s="57"/>
      <c r="V5" s="57"/>
      <c r="W5" s="57"/>
      <c r="X5" s="58"/>
    </row>
    <row r="6" spans="1:25" ht="16.149999999999999" customHeight="1" thickTop="1" x14ac:dyDescent="0.2">
      <c r="D6" s="119"/>
      <c r="E6" s="380" t="str">
        <f>REP.title1</f>
        <v>STEAM FINAL TREND REPORT FOR 2009-2013</v>
      </c>
      <c r="F6" s="394"/>
      <c r="G6" s="394"/>
      <c r="H6" s="394"/>
      <c r="I6" s="394"/>
      <c r="J6" s="394"/>
      <c r="K6" s="394"/>
      <c r="L6" s="394"/>
      <c r="M6" s="394"/>
      <c r="N6" s="394"/>
      <c r="O6" s="395"/>
      <c r="P6" s="964" t="str">
        <f>MIN(REP.yearsrange)&amp;" to "&amp;MAX(REP.yearsrange)</f>
        <v>2009 to 2013</v>
      </c>
      <c r="Q6" s="965"/>
      <c r="R6" s="966"/>
      <c r="S6" s="869" t="str">
        <f>UPPER(VISTYPE.short)</f>
        <v>TOTAL</v>
      </c>
      <c r="T6" s="870"/>
      <c r="U6" s="958" t="str">
        <f ca="1">$A$1</f>
        <v>VISITOR NUMBERS</v>
      </c>
      <c r="V6" s="959"/>
      <c r="W6" s="959"/>
      <c r="X6" s="960"/>
    </row>
    <row r="7" spans="1:25" ht="16.149999999999999" customHeight="1" thickBot="1" x14ac:dyDescent="0.25">
      <c r="D7" s="119"/>
      <c r="E7" s="381" t="str">
        <f>REP.title2</f>
        <v>MORAY HIE</v>
      </c>
      <c r="F7" s="382"/>
      <c r="G7" s="382"/>
      <c r="H7" s="382"/>
      <c r="I7" s="383"/>
      <c r="J7" s="383"/>
      <c r="K7" s="383"/>
      <c r="L7" s="383"/>
      <c r="M7" s="383"/>
      <c r="N7" s="383"/>
      <c r="O7" s="396"/>
      <c r="P7" s="967"/>
      <c r="Q7" s="968"/>
      <c r="R7" s="969"/>
      <c r="S7" s="871"/>
      <c r="T7" s="872"/>
      <c r="U7" s="961"/>
      <c r="V7" s="962"/>
      <c r="W7" s="962"/>
      <c r="X7" s="963"/>
    </row>
    <row r="8" spans="1:25" ht="16.149999999999999" customHeight="1" thickTop="1" thickBot="1" x14ac:dyDescent="0.25">
      <c r="D8" s="119"/>
      <c r="E8" s="807" t="str">
        <f ca="1">$A$1&amp;" BY:"</f>
        <v>VISITOR NUMBERS BY:</v>
      </c>
      <c r="F8" s="808"/>
      <c r="G8" s="807" t="s">
        <v>134</v>
      </c>
      <c r="H8" s="806"/>
      <c r="I8" s="806"/>
      <c r="J8" s="806"/>
      <c r="K8" s="806"/>
      <c r="L8" s="806"/>
      <c r="M8" s="806"/>
      <c r="N8" s="806"/>
      <c r="O8" s="806"/>
      <c r="P8" s="806"/>
      <c r="Q8" s="806"/>
      <c r="R8" s="806"/>
      <c r="S8" s="923" t="s">
        <v>125</v>
      </c>
      <c r="T8" s="924"/>
      <c r="U8" s="927" t="s">
        <v>126</v>
      </c>
      <c r="V8" s="928"/>
      <c r="W8" s="928"/>
      <c r="X8" s="929"/>
    </row>
    <row r="9" spans="1:25" s="41" customFormat="1" ht="16.149999999999999" customHeight="1" thickTop="1" thickBot="1" x14ac:dyDescent="0.25">
      <c r="D9" s="132"/>
      <c r="E9" s="812" t="s">
        <v>92</v>
      </c>
      <c r="F9" s="813"/>
      <c r="G9" s="938" t="str">
        <f>UPPER(TYPE.userselected)</f>
        <v>TOTAL</v>
      </c>
      <c r="H9" s="938"/>
      <c r="I9" s="938"/>
      <c r="J9" s="938"/>
      <c r="K9" s="938"/>
      <c r="L9" s="938"/>
      <c r="M9" s="938"/>
      <c r="N9" s="938"/>
      <c r="O9" s="938"/>
      <c r="P9" s="938"/>
      <c r="Q9" s="938"/>
      <c r="R9" s="939"/>
      <c r="S9" s="925"/>
      <c r="T9" s="926"/>
      <c r="U9" s="930"/>
      <c r="V9" s="931"/>
      <c r="W9" s="931"/>
      <c r="X9" s="932"/>
    </row>
    <row r="10" spans="1:25" s="41" customFormat="1" ht="16.149999999999999" customHeight="1" thickTop="1" thickBot="1" x14ac:dyDescent="0.25">
      <c r="D10" s="132"/>
      <c r="E10" s="785" t="str">
        <f>REP.highlightup</f>
        <v>An increase of 3% or more</v>
      </c>
      <c r="F10" s="786"/>
      <c r="G10" s="807" t="str">
        <f ca="1">U6&amp;" IN "&amp;IF($A$2=1,"THOUSANDS",IF($A$2=1000,"MILLIONS","BILLIONS"))&amp;" / PERCENTAGE CHANGES"</f>
        <v>VISITOR NUMBERS IN THOUSANDS / PERCENTAGE CHANGES</v>
      </c>
      <c r="H10" s="806"/>
      <c r="I10" s="806"/>
      <c r="J10" s="806"/>
      <c r="K10" s="806"/>
      <c r="L10" s="806"/>
      <c r="M10" s="806"/>
      <c r="N10" s="806"/>
      <c r="O10" s="806"/>
      <c r="P10" s="806"/>
      <c r="Q10" s="806"/>
      <c r="R10" s="808"/>
      <c r="S10" s="920" t="s">
        <v>39</v>
      </c>
      <c r="T10" s="920" t="s">
        <v>120</v>
      </c>
      <c r="U10" s="930"/>
      <c r="V10" s="931"/>
      <c r="W10" s="931"/>
      <c r="X10" s="932"/>
    </row>
    <row r="11" spans="1:25" s="41" customFormat="1" ht="16.149999999999999" customHeight="1" thickTop="1" thickBot="1" x14ac:dyDescent="0.25">
      <c r="D11" s="132"/>
      <c r="E11" s="796" t="str">
        <f>REP.highlightsame</f>
        <v>Less than 3% change</v>
      </c>
      <c r="F11" s="797"/>
      <c r="G11" s="940" t="s">
        <v>93</v>
      </c>
      <c r="H11" s="941"/>
      <c r="I11" s="942"/>
      <c r="J11" s="943" t="s">
        <v>94</v>
      </c>
      <c r="K11" s="944"/>
      <c r="L11" s="945"/>
      <c r="M11" s="946" t="s">
        <v>95</v>
      </c>
      <c r="N11" s="947"/>
      <c r="O11" s="948"/>
      <c r="P11" s="949" t="s">
        <v>96</v>
      </c>
      <c r="Q11" s="950"/>
      <c r="R11" s="951"/>
      <c r="S11" s="921"/>
      <c r="T11" s="921"/>
      <c r="U11" s="933"/>
      <c r="V11" s="934"/>
      <c r="W11" s="934"/>
      <c r="X11" s="935"/>
    </row>
    <row r="12" spans="1:25" ht="16.149999999999999" customHeight="1" thickTop="1" thickBot="1" x14ac:dyDescent="0.25">
      <c r="D12" s="119"/>
      <c r="E12" s="777" t="str">
        <f>REP.highlightdown</f>
        <v>A Fall of 3% or more</v>
      </c>
      <c r="F12" s="778"/>
      <c r="G12" s="191" t="s">
        <v>27</v>
      </c>
      <c r="H12" s="191" t="s">
        <v>28</v>
      </c>
      <c r="I12" s="191" t="s">
        <v>29</v>
      </c>
      <c r="J12" s="192" t="s">
        <v>30</v>
      </c>
      <c r="K12" s="192" t="s">
        <v>31</v>
      </c>
      <c r="L12" s="192" t="s">
        <v>32</v>
      </c>
      <c r="M12" s="193" t="s">
        <v>33</v>
      </c>
      <c r="N12" s="193" t="s">
        <v>34</v>
      </c>
      <c r="O12" s="193" t="s">
        <v>35</v>
      </c>
      <c r="P12" s="194" t="s">
        <v>36</v>
      </c>
      <c r="Q12" s="194" t="s">
        <v>37</v>
      </c>
      <c r="R12" s="194" t="s">
        <v>38</v>
      </c>
      <c r="S12" s="922"/>
      <c r="T12" s="922"/>
      <c r="U12" s="195" t="s">
        <v>93</v>
      </c>
      <c r="V12" s="196" t="s">
        <v>94</v>
      </c>
      <c r="W12" s="197" t="s">
        <v>95</v>
      </c>
      <c r="X12" s="198" t="s">
        <v>96</v>
      </c>
    </row>
    <row r="13" spans="1:25" ht="16.149999999999999" customHeight="1" thickTop="1" thickBot="1" x14ac:dyDescent="0.25">
      <c r="D13" s="119"/>
      <c r="E13" s="936" t="str">
        <f>"% Change "&amp;MIN(REP.yearsrange)&amp;" to "&amp;MAX(REP.yearsrange)</f>
        <v>% Change 2009 to 2013</v>
      </c>
      <c r="F13" s="936"/>
      <c r="G13" s="142">
        <f ca="1">INDEX(G$16:G$27,MATCH(MAX(REP.yearsrange),$E$16:$E$27,0))/INDEX(G$16:G$27,MATCH(MIN(REP.yearsrange),$E$16:$E$27,0))-1</f>
        <v>9.5145794457891952E-2</v>
      </c>
      <c r="H13" s="142">
        <f ca="1">INDEX(H$16:H$27,MATCH(MAX(REP.yearsrange),$E$16:$E$27,0))/INDEX(H$16:H$27,MATCH(MIN(REP.yearsrange),$E$16:$E$27,0))-1</f>
        <v>0.26984633728405161</v>
      </c>
      <c r="I13" s="142">
        <f ca="1">INDEX(I$16:I$27,MATCH(MAX(REP.yearsrange),$E$16:$E$27,0))/INDEX(I$16:I$27,MATCH(MIN(REP.yearsrange),$E$16:$E$27,0))-1</f>
        <v>0.27011979987208523</v>
      </c>
      <c r="J13" s="142">
        <f ca="1">INDEX(J$16:J$27,MATCH(MAX(REP.yearsrange),$E$16:$E$27,0))/INDEX(J$16:J$27,MATCH(MIN(REP.yearsrange),$E$16:$E$27,0))-1</f>
        <v>6.7154533616617718E-2</v>
      </c>
      <c r="K13" s="142">
        <f ca="1">INDEX(K$16:K$27,MATCH(MAX(REP.yearsrange),$E$16:$E$27,0))/INDEX(K$16:K$27,MATCH(MIN(REP.yearsrange),$E$16:$E$27,0))-1</f>
        <v>0.17739762732982656</v>
      </c>
      <c r="L13" s="142">
        <f ca="1">INDEX(L$16:L$27,MATCH(MAX(REP.yearsrange),$E$16:$E$27,0))/INDEX(L$16:L$27,MATCH(MIN(REP.yearsrange),$E$16:$E$27,0))-1</f>
        <v>0.15992505091506981</v>
      </c>
      <c r="M13" s="199">
        <f ca="1">INDEX(M$16:M$27,MATCH(MAX(REP.yearsrange),$E$16:$E$27,0))/INDEX(M$16:M$27,MATCH(MIN(REP.yearsrange),$E$16:$E$27,0))-1</f>
        <v>0.10154282995539421</v>
      </c>
      <c r="N13" s="199">
        <f ca="1">INDEX(N$16:N$27,MATCH(MAX(REP.yearsrange),$E$16:$E$27,0))/INDEX(N$16:N$27,MATCH(MIN(REP.yearsrange),$E$16:$E$27,0))-1</f>
        <v>6.3890389157774008E-2</v>
      </c>
      <c r="O13" s="199">
        <f ca="1">INDEX(O$16:O$27,MATCH(MAX(REP.yearsrange),$E$16:$E$27,0))/INDEX(O$16:O$27,MATCH(MIN(REP.yearsrange),$E$16:$E$27,0))-1</f>
        <v>0.16015976150346312</v>
      </c>
      <c r="P13" s="199">
        <f ca="1">INDEX(P$16:P$27,MATCH(MAX(REP.yearsrange),$E$16:$E$27,0))/INDEX(P$16:P$27,MATCH(MIN(REP.yearsrange),$E$16:$E$27,0))-1</f>
        <v>2.5201762842616438E-2</v>
      </c>
      <c r="Q13" s="199">
        <f ca="1">INDEX(Q$16:Q$27,MATCH(MAX(REP.yearsrange),$E$16:$E$27,0))/INDEX(Q$16:Q$27,MATCH(MIN(REP.yearsrange),$E$16:$E$27,0))-1</f>
        <v>-0.14239694782775725</v>
      </c>
      <c r="R13" s="199">
        <f ca="1">INDEX(R$16:R$27,MATCH(MAX(REP.yearsrange),$E$16:$E$27,0))/INDEX(R$16:R$27,MATCH(MIN(REP.yearsrange),$E$16:$E$27,0))-1</f>
        <v>-1.2685292109737678E-2</v>
      </c>
      <c r="S13" s="199">
        <f ca="1">INDEX(S$16:S$27,MATCH(MAX(REP.yearsrange),$E$16:$E$27,0))/INDEX(S$16:S$27,MATCH(MIN(REP.yearsrange),$E$16:$E$27,0))-1</f>
        <v>0.11318657682740296</v>
      </c>
      <c r="T13" s="937" t="str">
        <f>"Annual"&amp;CHAR(10)&amp;"Change"</f>
        <v>Annual
Change</v>
      </c>
      <c r="U13" s="142">
        <f ca="1">INDEX(U$16:U$27,MATCH(MAX(REP.yearsrange),$E$16:$E$27,0))/INDEX(U$16:U$27,MATCH(MIN(REP.yearsrange),$E$16:$E$27,0))-1</f>
        <v>0.21820289653524494</v>
      </c>
      <c r="V13" s="142">
        <f ca="1">INDEX(V$16:V$27,MATCH(MAX(REP.yearsrange),$E$16:$E$27,0))/INDEX(V$16:V$27,MATCH(MIN(REP.yearsrange),$E$16:$E$27,0))-1</f>
        <v>0.14252063334000775</v>
      </c>
      <c r="W13" s="142">
        <f ca="1">INDEX(W$16:W$27,MATCH(MAX(REP.yearsrange),$E$16:$E$27,0))/INDEX(W$16:W$27,MATCH(MIN(REP.yearsrange),$E$16:$E$27,0))-1</f>
        <v>0.1009433185152957</v>
      </c>
      <c r="X13" s="142">
        <f ca="1">INDEX(X$16:X$27,MATCH(MAX(REP.yearsrange),$E$16:$E$27,0))/INDEX(X$16:X$27,MATCH(MIN(REP.yearsrange),$E$16:$E$27,0))-1</f>
        <v>-3.8178920517674686E-2</v>
      </c>
    </row>
    <row r="14" spans="1:25" ht="16.149999999999999" customHeight="1" thickTop="1" thickBot="1" x14ac:dyDescent="0.25">
      <c r="D14" s="119"/>
      <c r="E14" s="936" t="str">
        <f>"% Change "&amp;INDEX(REP.yearsrange,COUNT(REP.yearsrange)-1)&amp;" to "&amp;MAX(REP.yearsrange)</f>
        <v>% Change 2012 to 2013</v>
      </c>
      <c r="F14" s="936"/>
      <c r="G14" s="142">
        <f ca="1">INDEX(G$16:G$27,MATCH(MAX(REP.yearsrange),$E$16:$E$27,0))/INDEX(G$16:G$27,MATCH(INDEX(REP.yearsrange,COUNT(REP.yearsrange)-1),$E$16:$E$27,0))-1</f>
        <v>8.1621727994469984E-2</v>
      </c>
      <c r="H14" s="142">
        <f ca="1">INDEX(H$16:H$27,MATCH(MAX(REP.yearsrange),$E$16:$E$27,0))/INDEX(H$16:H$27,MATCH(INDEX(REP.yearsrange,COUNT(REP.yearsrange)-1),$E$16:$E$27,0))-1</f>
        <v>0.12447558610223841</v>
      </c>
      <c r="I14" s="142">
        <f ca="1">INDEX(I$16:I$27,MATCH(MAX(REP.yearsrange),$E$16:$E$27,0))/INDEX(I$16:I$27,MATCH(INDEX(REP.yearsrange,COUNT(REP.yearsrange)-1),$E$16:$E$27,0))-1</f>
        <v>0.22265707111055733</v>
      </c>
      <c r="J14" s="142">
        <f ca="1">INDEX(J$16:J$27,MATCH(MAX(REP.yearsrange),$E$16:$E$27,0))/INDEX(J$16:J$27,MATCH(INDEX(REP.yearsrange,COUNT(REP.yearsrange)-1),$E$16:$E$27,0))-1</f>
        <v>5.0371216080334236E-2</v>
      </c>
      <c r="K14" s="142">
        <f ca="1">INDEX(K$16:K$27,MATCH(MAX(REP.yearsrange),$E$16:$E$27,0))/INDEX(K$16:K$27,MATCH(INDEX(REP.yearsrange,COUNT(REP.yearsrange)-1),$E$16:$E$27,0))-1</f>
        <v>0.15798431894938281</v>
      </c>
      <c r="L14" s="142">
        <f ca="1">INDEX(L$16:L$27,MATCH(MAX(REP.yearsrange),$E$16:$E$27,0))/INDEX(L$16:L$27,MATCH(INDEX(REP.yearsrange,COUNT(REP.yearsrange)-1),$E$16:$E$27,0))-1</f>
        <v>1.2085303840393635E-2</v>
      </c>
      <c r="M14" s="199">
        <f ca="1">INDEX(M$16:M$27,MATCH(MAX(REP.yearsrange),$E$16:$E$27,0))/INDEX(M$16:M$27,MATCH(INDEX(REP.yearsrange,COUNT(REP.yearsrange)-1),$E$16:$E$27,0))-1</f>
        <v>0.12793317073815169</v>
      </c>
      <c r="N14" s="199">
        <f ca="1">INDEX(N$16:N$27,MATCH(MAX(REP.yearsrange),$E$16:$E$27,0))/INDEX(N$16:N$27,MATCH(INDEX(REP.yearsrange,COUNT(REP.yearsrange)-1),$E$16:$E$27,0))-1</f>
        <v>0.10774045985181901</v>
      </c>
      <c r="O14" s="199">
        <f ca="1">INDEX(O$16:O$27,MATCH(MAX(REP.yearsrange),$E$16:$E$27,0))/INDEX(O$16:O$27,MATCH(INDEX(REP.yearsrange,COUNT(REP.yearsrange)-1),$E$16:$E$27,0))-1</f>
        <v>7.7887775981055452E-2</v>
      </c>
      <c r="P14" s="199">
        <f ca="1">INDEX(P$16:P$27,MATCH(MAX(REP.yearsrange),$E$16:$E$27,0))/INDEX(P$16:P$27,MATCH(INDEX(REP.yearsrange,COUNT(REP.yearsrange)-1),$E$16:$E$27,0))-1</f>
        <v>9.1865786791064163E-2</v>
      </c>
      <c r="Q14" s="199">
        <f ca="1">INDEX(Q$16:Q$27,MATCH(MAX(REP.yearsrange),$E$16:$E$27,0))/INDEX(Q$16:Q$27,MATCH(INDEX(REP.yearsrange,COUNT(REP.yearsrange)-1),$E$16:$E$27,0))-1</f>
        <v>-4.4983472792215817E-2</v>
      </c>
      <c r="R14" s="199">
        <f ca="1">INDEX(R$16:R$27,MATCH(MAX(REP.yearsrange),$E$16:$E$27,0))/INDEX(R$16:R$27,MATCH(INDEX(REP.yearsrange,COUNT(REP.yearsrange)-1),$E$16:$E$27,0))-1</f>
        <v>-9.694173770157255E-2</v>
      </c>
      <c r="S14" s="199">
        <f ca="1">INDEX(S$16:S$27,MATCH(MAX(REP.yearsrange),$E$16:$E$27,0))/INDEX(S$16:S$27,MATCH(INDEX(REP.yearsrange,COUNT(REP.yearsrange)-1),$E$16:$E$27,0))-1</f>
        <v>8.8610223765478002E-2</v>
      </c>
      <c r="T14" s="937"/>
      <c r="U14" s="142">
        <f ca="1">INDEX(U$16:U$27,MATCH(MAX(REP.yearsrange),$E$16:$E$27,0))/INDEX(U$16:U$27,MATCH(INDEX(REP.yearsrange,COUNT(REP.yearsrange)-1),$E$16:$E$27,0))-1</f>
        <v>0.15010192769144304</v>
      </c>
      <c r="V14" s="142">
        <f ca="1">INDEX(V$16:V$27,MATCH(MAX(REP.yearsrange),$E$16:$E$27,0))/INDEX(V$16:V$27,MATCH(INDEX(REP.yearsrange,COUNT(REP.yearsrange)-1),$E$16:$E$27,0))-1</f>
        <v>7.6829356704924301E-2</v>
      </c>
      <c r="W14" s="142">
        <f ca="1">INDEX(W$16:W$27,MATCH(MAX(REP.yearsrange),$E$16:$E$27,0))/INDEX(W$16:W$27,MATCH(INDEX(REP.yearsrange,COUNT(REP.yearsrange)-1),$E$16:$E$27,0))-1</f>
        <v>0.10809839567884438</v>
      </c>
      <c r="X14" s="142">
        <f ca="1">INDEX(X$16:X$27,MATCH(MAX(REP.yearsrange),$E$16:$E$27,0))/INDEX(X$16:X$27,MATCH(INDEX(REP.yearsrange,COUNT(REP.yearsrange)-1),$E$16:$E$27,0))-1</f>
        <v>-7.8774674114766574E-3</v>
      </c>
    </row>
    <row r="15" spans="1:25" ht="16.149999999999999" customHeight="1" thickTop="1" thickBot="1" x14ac:dyDescent="0.25">
      <c r="D15" s="119"/>
      <c r="E15" s="936" t="s">
        <v>118</v>
      </c>
      <c r="F15" s="936"/>
      <c r="G15" s="142">
        <f ca="1">G14/(COUNT(REP.yearsrange)-1)</f>
        <v>2.0405431998617496E-2</v>
      </c>
      <c r="H15" s="142">
        <f ca="1">H14/(COUNT(REP.yearsrange)-1)</f>
        <v>3.1118896525559603E-2</v>
      </c>
      <c r="I15" s="142">
        <f ca="1">I14/(COUNT(REP.yearsrange)-1)</f>
        <v>5.5664267777639331E-2</v>
      </c>
      <c r="J15" s="142">
        <f ca="1">J14/(COUNT(REP.yearsrange)-1)</f>
        <v>1.2592804020083559E-2</v>
      </c>
      <c r="K15" s="142">
        <f ca="1">K14/(COUNT(REP.yearsrange)-1)</f>
        <v>3.9496079737345702E-2</v>
      </c>
      <c r="L15" s="142">
        <f ca="1">L14/(COUNT(REP.yearsrange)-1)</f>
        <v>3.0213259600984088E-3</v>
      </c>
      <c r="M15" s="199">
        <f ca="1">M14/(COUNT(REP.yearsrange)-1)</f>
        <v>3.1983292684537923E-2</v>
      </c>
      <c r="N15" s="199">
        <f ca="1">N14/(COUNT(REP.yearsrange)-1)</f>
        <v>2.6935114962954754E-2</v>
      </c>
      <c r="O15" s="199">
        <f ca="1">O14/(COUNT(REP.yearsrange)-1)</f>
        <v>1.9471943995263863E-2</v>
      </c>
      <c r="P15" s="199">
        <f ca="1">P14/(COUNT(REP.yearsrange)-1)</f>
        <v>2.2966446697766041E-2</v>
      </c>
      <c r="Q15" s="199">
        <f ca="1">Q14/(COUNT(REP.yearsrange)-1)</f>
        <v>-1.1245868198053954E-2</v>
      </c>
      <c r="R15" s="199">
        <f ca="1">R14/(COUNT(REP.yearsrange)-1)</f>
        <v>-2.4235434425393138E-2</v>
      </c>
      <c r="S15" s="199">
        <f ca="1">S14/(COUNT(REP.yearsrange)-1)</f>
        <v>2.2152555941369501E-2</v>
      </c>
      <c r="T15" s="937"/>
      <c r="U15" s="142">
        <f ca="1">U14/(COUNT(REP.yearsrange)-1)</f>
        <v>3.7525481922860759E-2</v>
      </c>
      <c r="V15" s="142">
        <f ca="1">V14/(COUNT(REP.yearsrange)-1)</f>
        <v>1.9207339176231075E-2</v>
      </c>
      <c r="W15" s="142">
        <f ca="1">W14/(COUNT(REP.yearsrange)-1)</f>
        <v>2.7024598919711096E-2</v>
      </c>
      <c r="X15" s="142">
        <f ca="1">X14/(COUNT(REP.yearsrange)-1)</f>
        <v>-1.9693668528691644E-3</v>
      </c>
    </row>
    <row r="16" spans="1:25" ht="16.149999999999999" customHeight="1" thickTop="1" thickBot="1" x14ac:dyDescent="0.25">
      <c r="D16" s="119"/>
      <c r="E16" s="200">
        <f t="array" ref="E16:E27">INDEX(REP.yearsrange,REP.yearnos)</f>
        <v>2009</v>
      </c>
      <c r="F16" s="201" t="str">
        <f ca="1">IF($A$2=1,"000s",IF(A2=1000,"M","Bn"))</f>
        <v>000s</v>
      </c>
      <c r="G16" s="603">
        <f t="array" ref="G16:G27" ca="1">TN.MONTHLYDATA</f>
        <v>41.578027669759187</v>
      </c>
      <c r="H16" s="603">
        <f t="array" ref="H16:H27" ca="1">TN.MONTHLYDATA</f>
        <v>43.739024659131033</v>
      </c>
      <c r="I16" s="603">
        <f t="array" ref="I16:I27" ca="1">TN.MONTHLYDATA</f>
        <v>55.042533030092223</v>
      </c>
      <c r="J16" s="604">
        <f t="array" ref="J16:J27" ca="1">TN.MONTHLYDATA</f>
        <v>45.954139985096987</v>
      </c>
      <c r="K16" s="604">
        <f t="array" ref="K16:K27" ca="1">TN.MONTHLYDATA</f>
        <v>69.205683210386454</v>
      </c>
      <c r="L16" s="604">
        <f t="array" ref="L16:L27" ca="1">TN.MONTHLYDATA</f>
        <v>60.31216470774531</v>
      </c>
      <c r="M16" s="605">
        <f t="array" ref="M16:M27" ca="1">TN.MONTHLYDATA</f>
        <v>78.158723583950987</v>
      </c>
      <c r="N16" s="605">
        <f t="array" ref="N16:N27" ca="1">TN.MONTHLYDATA</f>
        <v>74.418491167882408</v>
      </c>
      <c r="O16" s="605">
        <f t="array" ref="O16:O27" ca="1">TN.MONTHLYDATA</f>
        <v>45.773874795999873</v>
      </c>
      <c r="P16" s="606">
        <f t="array" ref="P16:P27" ca="1">TN.MONTHLYDATA</f>
        <v>46.626734062633624</v>
      </c>
      <c r="Q16" s="606">
        <f t="array" ref="Q16:Q27" ca="1">TN.MONTHLYDATA</f>
        <v>36.288572279024507</v>
      </c>
      <c r="R16" s="606">
        <f t="array" ref="R16:R27" ca="1">TN.MONTHLYDATA</f>
        <v>32.427284803979617</v>
      </c>
      <c r="S16" s="607">
        <f t="array" ref="S16:S27" ca="1">TN.MONTHLYDATA</f>
        <v>629.52525395568227</v>
      </c>
      <c r="T16" s="937"/>
      <c r="U16" s="603">
        <f ca="1">IF(SUM(G16:I16)=0,"",SUM(G16:I16))</f>
        <v>140.35958535898243</v>
      </c>
      <c r="V16" s="604">
        <f ca="1">IF(SUM(J16:L16)=0,"",SUM(J16:L16))</f>
        <v>175.47198790322875</v>
      </c>
      <c r="W16" s="605">
        <f ca="1">IF(SUM(M16:O16)=0,"",SUM(M16:O16))</f>
        <v>198.35108954783328</v>
      </c>
      <c r="X16" s="606">
        <f ca="1">IF(SUM(P16:R16)=0,"",SUM(P16:R16))</f>
        <v>115.34259114563774</v>
      </c>
      <c r="Y16" s="80"/>
    </row>
    <row r="17" spans="4:24" ht="16.149999999999999" customHeight="1" thickTop="1" thickBot="1" x14ac:dyDescent="0.25">
      <c r="D17" s="119"/>
      <c r="E17" s="200">
        <v>2010</v>
      </c>
      <c r="F17" s="201" t="str">
        <f ca="1">$F$16</f>
        <v>000s</v>
      </c>
      <c r="G17" s="603">
        <f ca="1"/>
        <v>39.765882185680603</v>
      </c>
      <c r="H17" s="603">
        <f ca="1"/>
        <v>42.02058948150966</v>
      </c>
      <c r="I17" s="603">
        <f ca="1"/>
        <v>59.49450814748981</v>
      </c>
      <c r="J17" s="604">
        <f ca="1"/>
        <v>49.660211189881345</v>
      </c>
      <c r="K17" s="604">
        <f ca="1"/>
        <v>73.622947019688382</v>
      </c>
      <c r="L17" s="604">
        <f ca="1"/>
        <v>67.026735066414219</v>
      </c>
      <c r="M17" s="605">
        <f ca="1"/>
        <v>73.075705033850411</v>
      </c>
      <c r="N17" s="605">
        <f ca="1"/>
        <v>72.9714183060008</v>
      </c>
      <c r="O17" s="605">
        <f ca="1"/>
        <v>47.824054414927808</v>
      </c>
      <c r="P17" s="606">
        <f ca="1"/>
        <v>47.213211054959523</v>
      </c>
      <c r="Q17" s="606">
        <f ca="1"/>
        <v>33.567179658254958</v>
      </c>
      <c r="R17" s="606">
        <f ca="1"/>
        <v>30.730318469256673</v>
      </c>
      <c r="S17" s="607">
        <f ca="1"/>
        <v>636.97276002791421</v>
      </c>
      <c r="T17" s="202">
        <f ca="1">IFERROR(IF(S17&lt;&gt;0,S17/S16-1,""),"")</f>
        <v>1.1830353151735862E-2</v>
      </c>
      <c r="U17" s="603">
        <f t="shared" ref="U17:U27" ca="1" si="0">IF(SUM(G17:I17)=0,"",SUM(G17:I17))</f>
        <v>141.28097981468005</v>
      </c>
      <c r="V17" s="604">
        <f t="shared" ref="V17:V27" ca="1" si="1">IF(SUM(J17:L17)=0,"",SUM(J17:L17))</f>
        <v>190.30989327598394</v>
      </c>
      <c r="W17" s="605">
        <f t="shared" ref="W17:W27" ca="1" si="2">IF(SUM(M17:O17)=0,"",SUM(M17:O17))</f>
        <v>193.87117775477904</v>
      </c>
      <c r="X17" s="606">
        <f t="shared" ref="X17:X27" ca="1" si="3">IF(SUM(P17:R17)=0,"",SUM(P17:R17))</f>
        <v>111.51070918247115</v>
      </c>
    </row>
    <row r="18" spans="4:24" ht="16.149999999999999" customHeight="1" thickTop="1" thickBot="1" x14ac:dyDescent="0.25">
      <c r="D18" s="119"/>
      <c r="E18" s="200">
        <v>2011</v>
      </c>
      <c r="F18" s="201" t="str">
        <f t="shared" ref="F18:F27" ca="1" si="4">$F$16</f>
        <v>000s</v>
      </c>
      <c r="G18" s="603">
        <f ca="1"/>
        <v>36.321047661924858</v>
      </c>
      <c r="H18" s="603">
        <f ca="1"/>
        <v>46.765055244052462</v>
      </c>
      <c r="I18" s="603">
        <f ca="1"/>
        <v>52.677742417674409</v>
      </c>
      <c r="J18" s="604">
        <f ca="1"/>
        <v>52.431694730784329</v>
      </c>
      <c r="K18" s="604">
        <f ca="1"/>
        <v>69.289611892573376</v>
      </c>
      <c r="L18" s="604">
        <f ca="1"/>
        <v>65.320396436789679</v>
      </c>
      <c r="M18" s="605">
        <f ca="1"/>
        <v>72.501432689271624</v>
      </c>
      <c r="N18" s="605">
        <f ca="1"/>
        <v>69.553787926227017</v>
      </c>
      <c r="O18" s="605">
        <f ca="1"/>
        <v>44.610309068443165</v>
      </c>
      <c r="P18" s="606">
        <f ca="1"/>
        <v>48.052506937020404</v>
      </c>
      <c r="Q18" s="606">
        <f ca="1"/>
        <v>36.569823059289924</v>
      </c>
      <c r="R18" s="606">
        <f ca="1"/>
        <v>35.325869013736906</v>
      </c>
      <c r="S18" s="607">
        <f ca="1"/>
        <v>629.41927707778814</v>
      </c>
      <c r="T18" s="202">
        <f t="shared" ref="T18:T27" ca="1" si="5">IFERROR(IF(S18&lt;&gt;0,S18/S17-1,""),"")</f>
        <v>-1.1858408120615782E-2</v>
      </c>
      <c r="U18" s="603">
        <f t="shared" ca="1" si="0"/>
        <v>135.76384532365174</v>
      </c>
      <c r="V18" s="604">
        <f t="shared" ca="1" si="1"/>
        <v>187.04170306014737</v>
      </c>
      <c r="W18" s="605">
        <f t="shared" ca="1" si="2"/>
        <v>186.6655296839418</v>
      </c>
      <c r="X18" s="606">
        <f t="shared" ca="1" si="3"/>
        <v>119.94819901004723</v>
      </c>
    </row>
    <row r="19" spans="4:24" ht="16.149999999999999" customHeight="1" thickTop="1" thickBot="1" x14ac:dyDescent="0.25">
      <c r="D19" s="119"/>
      <c r="E19" s="200">
        <v>2012</v>
      </c>
      <c r="F19" s="201" t="str">
        <f t="shared" ca="1" si="4"/>
        <v>000s</v>
      </c>
      <c r="G19" s="603">
        <f ca="1"/>
        <v>42.097898891897486</v>
      </c>
      <c r="H19" s="603">
        <f ca="1"/>
        <v>49.393549265305651</v>
      </c>
      <c r="I19" s="603">
        <f ca="1"/>
        <v>57.179247303687973</v>
      </c>
      <c r="J19" s="604">
        <f ca="1"/>
        <v>46.688416507215351</v>
      </c>
      <c r="K19" s="604">
        <f ca="1"/>
        <v>70.365898636327174</v>
      </c>
      <c r="L19" s="604">
        <f ca="1"/>
        <v>69.122227596797416</v>
      </c>
      <c r="M19" s="605">
        <f ca="1"/>
        <v>76.330037803590471</v>
      </c>
      <c r="N19" s="605">
        <f ca="1"/>
        <v>71.472624137718739</v>
      </c>
      <c r="O19" s="605">
        <f ca="1"/>
        <v>49.267659258944924</v>
      </c>
      <c r="P19" s="606">
        <f ca="1"/>
        <v>43.779932052906297</v>
      </c>
      <c r="Q19" s="606">
        <f ca="1"/>
        <v>32.587069918522339</v>
      </c>
      <c r="R19" s="606">
        <f ca="1"/>
        <v>35.452790324325044</v>
      </c>
      <c r="S19" s="607">
        <f ca="1"/>
        <v>643.73735169723886</v>
      </c>
      <c r="T19" s="202">
        <f t="shared" ca="1" si="5"/>
        <v>2.2748071342723053E-2</v>
      </c>
      <c r="U19" s="603">
        <f t="shared" ca="1" si="0"/>
        <v>148.67069546089112</v>
      </c>
      <c r="V19" s="604">
        <f t="shared" ca="1" si="1"/>
        <v>186.17654274033993</v>
      </c>
      <c r="W19" s="605">
        <f t="shared" ca="1" si="2"/>
        <v>197.07032120025414</v>
      </c>
      <c r="X19" s="606">
        <f t="shared" ca="1" si="3"/>
        <v>111.81979229575367</v>
      </c>
    </row>
    <row r="20" spans="4:24" ht="16.149999999999999" customHeight="1" thickTop="1" thickBot="1" x14ac:dyDescent="0.25">
      <c r="D20" s="119"/>
      <c r="E20" s="200">
        <v>2013</v>
      </c>
      <c r="F20" s="201" t="str">
        <f t="shared" ca="1" si="4"/>
        <v>000s</v>
      </c>
      <c r="G20" s="603">
        <f ca="1"/>
        <v>45.534002144390641</v>
      </c>
      <c r="H20" s="603">
        <f ca="1"/>
        <v>55.541840259774361</v>
      </c>
      <c r="I20" s="603">
        <f ca="1"/>
        <v>69.91061103663337</v>
      </c>
      <c r="J20" s="604">
        <f ca="1"/>
        <v>49.040168823548939</v>
      </c>
      <c r="K20" s="604">
        <f ca="1"/>
        <v>81.48260720964862</v>
      </c>
      <c r="L20" s="604">
        <f ca="1"/>
        <v>69.957590719429561</v>
      </c>
      <c r="M20" s="605">
        <f ca="1"/>
        <v>86.09518156236679</v>
      </c>
      <c r="N20" s="605">
        <f ca="1"/>
        <v>79.173117529132782</v>
      </c>
      <c r="O20" s="605">
        <f ca="1"/>
        <v>53.105007666416597</v>
      </c>
      <c r="P20" s="606">
        <f ca="1"/>
        <v>47.801809956605858</v>
      </c>
      <c r="Q20" s="606">
        <f ca="1"/>
        <v>31.121190345464456</v>
      </c>
      <c r="R20" s="606">
        <f ca="1"/>
        <v>32.015935223915477</v>
      </c>
      <c r="S20" s="607">
        <f ca="1"/>
        <v>700.77906247732744</v>
      </c>
      <c r="T20" s="202">
        <f t="shared" ca="1" si="5"/>
        <v>8.8610223765478002E-2</v>
      </c>
      <c r="U20" s="603">
        <f t="shared" ca="1" si="0"/>
        <v>170.98645344079836</v>
      </c>
      <c r="V20" s="604">
        <f t="shared" ca="1" si="1"/>
        <v>200.48036675262711</v>
      </c>
      <c r="W20" s="605">
        <f t="shared" ca="1" si="2"/>
        <v>218.37330675791617</v>
      </c>
      <c r="X20" s="606">
        <f t="shared" ca="1" si="3"/>
        <v>110.93893552598578</v>
      </c>
    </row>
    <row r="21" spans="4:24" ht="16.149999999999999" customHeight="1" thickTop="1" thickBot="1" x14ac:dyDescent="0.25">
      <c r="D21" s="119"/>
      <c r="E21" s="200">
        <v>0</v>
      </c>
      <c r="F21" s="201" t="str">
        <f t="shared" ca="1" si="4"/>
        <v>000s</v>
      </c>
      <c r="G21" s="603" t="str">
        <f ca="1"/>
        <v/>
      </c>
      <c r="H21" s="603" t="str">
        <f ca="1"/>
        <v/>
      </c>
      <c r="I21" s="603" t="str">
        <f ca="1"/>
        <v/>
      </c>
      <c r="J21" s="604" t="str">
        <f ca="1"/>
        <v/>
      </c>
      <c r="K21" s="604" t="str">
        <f ca="1"/>
        <v/>
      </c>
      <c r="L21" s="604" t="str">
        <f ca="1"/>
        <v/>
      </c>
      <c r="M21" s="605" t="str">
        <f ca="1"/>
        <v/>
      </c>
      <c r="N21" s="605" t="str">
        <f ca="1"/>
        <v/>
      </c>
      <c r="O21" s="605" t="str">
        <f ca="1"/>
        <v/>
      </c>
      <c r="P21" s="606" t="str">
        <f ca="1"/>
        <v/>
      </c>
      <c r="Q21" s="606" t="str">
        <f ca="1"/>
        <v/>
      </c>
      <c r="R21" s="606" t="str">
        <f ca="1"/>
        <v/>
      </c>
      <c r="S21" s="607" t="str">
        <f ca="1"/>
        <v/>
      </c>
      <c r="T21" s="202" t="str">
        <f t="shared" ca="1" si="5"/>
        <v/>
      </c>
      <c r="U21" s="603" t="str">
        <f t="shared" ca="1" si="0"/>
        <v/>
      </c>
      <c r="V21" s="604" t="str">
        <f t="shared" ca="1" si="1"/>
        <v/>
      </c>
      <c r="W21" s="605" t="str">
        <f t="shared" ca="1" si="2"/>
        <v/>
      </c>
      <c r="X21" s="606" t="str">
        <f t="shared" ca="1" si="3"/>
        <v/>
      </c>
    </row>
    <row r="22" spans="4:24" ht="16.149999999999999" customHeight="1" thickTop="1" thickBot="1" x14ac:dyDescent="0.25">
      <c r="D22" s="119"/>
      <c r="E22" s="200">
        <v>0</v>
      </c>
      <c r="F22" s="201" t="str">
        <f t="shared" ca="1" si="4"/>
        <v>000s</v>
      </c>
      <c r="G22" s="603" t="str">
        <f ca="1"/>
        <v/>
      </c>
      <c r="H22" s="603" t="str">
        <f ca="1"/>
        <v/>
      </c>
      <c r="I22" s="603" t="str">
        <f ca="1"/>
        <v/>
      </c>
      <c r="J22" s="604" t="str">
        <f ca="1"/>
        <v/>
      </c>
      <c r="K22" s="604" t="str">
        <f ca="1"/>
        <v/>
      </c>
      <c r="L22" s="604" t="str">
        <f ca="1"/>
        <v/>
      </c>
      <c r="M22" s="605" t="str">
        <f ca="1"/>
        <v/>
      </c>
      <c r="N22" s="605" t="str">
        <f ca="1"/>
        <v/>
      </c>
      <c r="O22" s="605" t="str">
        <f ca="1"/>
        <v/>
      </c>
      <c r="P22" s="606" t="str">
        <f ca="1"/>
        <v/>
      </c>
      <c r="Q22" s="606" t="str">
        <f ca="1"/>
        <v/>
      </c>
      <c r="R22" s="606" t="str">
        <f ca="1"/>
        <v/>
      </c>
      <c r="S22" s="607" t="str">
        <f ca="1"/>
        <v/>
      </c>
      <c r="T22" s="202" t="str">
        <f t="shared" ca="1" si="5"/>
        <v/>
      </c>
      <c r="U22" s="603" t="str">
        <f t="shared" ca="1" si="0"/>
        <v/>
      </c>
      <c r="V22" s="604" t="str">
        <f t="shared" ca="1" si="1"/>
        <v/>
      </c>
      <c r="W22" s="605" t="str">
        <f t="shared" ca="1" si="2"/>
        <v/>
      </c>
      <c r="X22" s="606" t="str">
        <f t="shared" ca="1" si="3"/>
        <v/>
      </c>
    </row>
    <row r="23" spans="4:24" ht="16.149999999999999" customHeight="1" thickTop="1" thickBot="1" x14ac:dyDescent="0.25">
      <c r="D23" s="119"/>
      <c r="E23" s="200">
        <v>0</v>
      </c>
      <c r="F23" s="201" t="str">
        <f t="shared" ca="1" si="4"/>
        <v>000s</v>
      </c>
      <c r="G23" s="603" t="str">
        <f ca="1"/>
        <v/>
      </c>
      <c r="H23" s="603" t="str">
        <f ca="1"/>
        <v/>
      </c>
      <c r="I23" s="603" t="str">
        <f ca="1"/>
        <v/>
      </c>
      <c r="J23" s="604" t="str">
        <f ca="1"/>
        <v/>
      </c>
      <c r="K23" s="604" t="str">
        <f ca="1"/>
        <v/>
      </c>
      <c r="L23" s="604" t="str">
        <f ca="1"/>
        <v/>
      </c>
      <c r="M23" s="605" t="str">
        <f ca="1"/>
        <v/>
      </c>
      <c r="N23" s="605" t="str">
        <f ca="1"/>
        <v/>
      </c>
      <c r="O23" s="605" t="str">
        <f ca="1"/>
        <v/>
      </c>
      <c r="P23" s="606" t="str">
        <f ca="1"/>
        <v/>
      </c>
      <c r="Q23" s="606" t="str">
        <f ca="1"/>
        <v/>
      </c>
      <c r="R23" s="606" t="str">
        <f ca="1"/>
        <v/>
      </c>
      <c r="S23" s="607" t="str">
        <f ca="1"/>
        <v/>
      </c>
      <c r="T23" s="202" t="str">
        <f t="shared" ca="1" si="5"/>
        <v/>
      </c>
      <c r="U23" s="603" t="str">
        <f t="shared" ca="1" si="0"/>
        <v/>
      </c>
      <c r="V23" s="604" t="str">
        <f t="shared" ca="1" si="1"/>
        <v/>
      </c>
      <c r="W23" s="605" t="str">
        <f t="shared" ca="1" si="2"/>
        <v/>
      </c>
      <c r="X23" s="606" t="str">
        <f t="shared" ca="1" si="3"/>
        <v/>
      </c>
    </row>
    <row r="24" spans="4:24" ht="16.149999999999999" customHeight="1" thickTop="1" thickBot="1" x14ac:dyDescent="0.25">
      <c r="D24" s="119"/>
      <c r="E24" s="200">
        <v>0</v>
      </c>
      <c r="F24" s="201" t="str">
        <f t="shared" ca="1" si="4"/>
        <v>000s</v>
      </c>
      <c r="G24" s="603" t="str">
        <f ca="1"/>
        <v/>
      </c>
      <c r="H24" s="603" t="str">
        <f ca="1"/>
        <v/>
      </c>
      <c r="I24" s="603" t="str">
        <f ca="1"/>
        <v/>
      </c>
      <c r="J24" s="604" t="str">
        <f ca="1"/>
        <v/>
      </c>
      <c r="K24" s="604" t="str">
        <f ca="1"/>
        <v/>
      </c>
      <c r="L24" s="604" t="str">
        <f ca="1"/>
        <v/>
      </c>
      <c r="M24" s="605" t="str">
        <f ca="1"/>
        <v/>
      </c>
      <c r="N24" s="605" t="str">
        <f ca="1"/>
        <v/>
      </c>
      <c r="O24" s="605" t="str">
        <f ca="1"/>
        <v/>
      </c>
      <c r="P24" s="606" t="str">
        <f ca="1"/>
        <v/>
      </c>
      <c r="Q24" s="606" t="str">
        <f ca="1"/>
        <v/>
      </c>
      <c r="R24" s="606" t="str">
        <f ca="1"/>
        <v/>
      </c>
      <c r="S24" s="607" t="str">
        <f ca="1"/>
        <v/>
      </c>
      <c r="T24" s="202" t="str">
        <f t="shared" ca="1" si="5"/>
        <v/>
      </c>
      <c r="U24" s="603" t="str">
        <f t="shared" ca="1" si="0"/>
        <v/>
      </c>
      <c r="V24" s="604" t="str">
        <f t="shared" ca="1" si="1"/>
        <v/>
      </c>
      <c r="W24" s="605" t="str">
        <f t="shared" ca="1" si="2"/>
        <v/>
      </c>
      <c r="X24" s="606" t="str">
        <f t="shared" ca="1" si="3"/>
        <v/>
      </c>
    </row>
    <row r="25" spans="4:24" ht="16.149999999999999" customHeight="1" thickTop="1" thickBot="1" x14ac:dyDescent="0.25">
      <c r="D25" s="119"/>
      <c r="E25" s="200">
        <v>0</v>
      </c>
      <c r="F25" s="201" t="str">
        <f t="shared" ca="1" si="4"/>
        <v>000s</v>
      </c>
      <c r="G25" s="603" t="str">
        <f ca="1"/>
        <v/>
      </c>
      <c r="H25" s="603" t="str">
        <f ca="1"/>
        <v/>
      </c>
      <c r="I25" s="603" t="str">
        <f ca="1"/>
        <v/>
      </c>
      <c r="J25" s="604" t="str">
        <f ca="1"/>
        <v/>
      </c>
      <c r="K25" s="604" t="str">
        <f ca="1"/>
        <v/>
      </c>
      <c r="L25" s="604" t="str">
        <f ca="1"/>
        <v/>
      </c>
      <c r="M25" s="605" t="str">
        <f ca="1"/>
        <v/>
      </c>
      <c r="N25" s="605" t="str">
        <f ca="1"/>
        <v/>
      </c>
      <c r="O25" s="605" t="str">
        <f ca="1"/>
        <v/>
      </c>
      <c r="P25" s="606" t="str">
        <f ca="1"/>
        <v/>
      </c>
      <c r="Q25" s="606" t="str">
        <f ca="1"/>
        <v/>
      </c>
      <c r="R25" s="606" t="str">
        <f ca="1"/>
        <v/>
      </c>
      <c r="S25" s="607" t="str">
        <f ca="1"/>
        <v/>
      </c>
      <c r="T25" s="202" t="str">
        <f t="shared" ca="1" si="5"/>
        <v/>
      </c>
      <c r="U25" s="603" t="str">
        <f t="shared" ca="1" si="0"/>
        <v/>
      </c>
      <c r="V25" s="604" t="str">
        <f t="shared" ca="1" si="1"/>
        <v/>
      </c>
      <c r="W25" s="605" t="str">
        <f t="shared" ca="1" si="2"/>
        <v/>
      </c>
      <c r="X25" s="606" t="str">
        <f t="shared" ca="1" si="3"/>
        <v/>
      </c>
    </row>
    <row r="26" spans="4:24" ht="16.149999999999999" customHeight="1" thickTop="1" thickBot="1" x14ac:dyDescent="0.25">
      <c r="D26" s="119"/>
      <c r="E26" s="200">
        <v>0</v>
      </c>
      <c r="F26" s="201" t="str">
        <f t="shared" ca="1" si="4"/>
        <v>000s</v>
      </c>
      <c r="G26" s="603" t="str">
        <f ca="1"/>
        <v/>
      </c>
      <c r="H26" s="603" t="str">
        <f ca="1"/>
        <v/>
      </c>
      <c r="I26" s="603" t="str">
        <f ca="1"/>
        <v/>
      </c>
      <c r="J26" s="604" t="str">
        <f ca="1"/>
        <v/>
      </c>
      <c r="K26" s="604" t="str">
        <f ca="1"/>
        <v/>
      </c>
      <c r="L26" s="604" t="str">
        <f ca="1"/>
        <v/>
      </c>
      <c r="M26" s="605" t="str">
        <f ca="1"/>
        <v/>
      </c>
      <c r="N26" s="605" t="str">
        <f ca="1"/>
        <v/>
      </c>
      <c r="O26" s="605" t="str">
        <f ca="1"/>
        <v/>
      </c>
      <c r="P26" s="606" t="str">
        <f ca="1"/>
        <v/>
      </c>
      <c r="Q26" s="606" t="str">
        <f ca="1"/>
        <v/>
      </c>
      <c r="R26" s="606" t="str">
        <f ca="1"/>
        <v/>
      </c>
      <c r="S26" s="607" t="str">
        <f ca="1"/>
        <v/>
      </c>
      <c r="T26" s="202" t="str">
        <f t="shared" ca="1" si="5"/>
        <v/>
      </c>
      <c r="U26" s="603" t="str">
        <f t="shared" ca="1" si="0"/>
        <v/>
      </c>
      <c r="V26" s="604" t="str">
        <f t="shared" ca="1" si="1"/>
        <v/>
      </c>
      <c r="W26" s="605" t="str">
        <f t="shared" ca="1" si="2"/>
        <v/>
      </c>
      <c r="X26" s="606" t="str">
        <f t="shared" ca="1" si="3"/>
        <v/>
      </c>
    </row>
    <row r="27" spans="4:24" ht="16.149999999999999" customHeight="1" thickTop="1" thickBot="1" x14ac:dyDescent="0.25">
      <c r="D27" s="119"/>
      <c r="E27" s="200">
        <v>0</v>
      </c>
      <c r="F27" s="201" t="str">
        <f t="shared" ca="1" si="4"/>
        <v>000s</v>
      </c>
      <c r="G27" s="603" t="str">
        <f ca="1"/>
        <v/>
      </c>
      <c r="H27" s="603" t="str">
        <f ca="1"/>
        <v/>
      </c>
      <c r="I27" s="603" t="str">
        <f ca="1"/>
        <v/>
      </c>
      <c r="J27" s="604" t="str">
        <f ca="1"/>
        <v/>
      </c>
      <c r="K27" s="604" t="str">
        <f ca="1"/>
        <v/>
      </c>
      <c r="L27" s="604" t="str">
        <f ca="1"/>
        <v/>
      </c>
      <c r="M27" s="605" t="str">
        <f ca="1"/>
        <v/>
      </c>
      <c r="N27" s="605" t="str">
        <f ca="1"/>
        <v/>
      </c>
      <c r="O27" s="605" t="str">
        <f ca="1"/>
        <v/>
      </c>
      <c r="P27" s="606" t="str">
        <f ca="1"/>
        <v/>
      </c>
      <c r="Q27" s="606" t="str">
        <f ca="1"/>
        <v/>
      </c>
      <c r="R27" s="606" t="str">
        <f ca="1"/>
        <v/>
      </c>
      <c r="S27" s="607" t="str">
        <f ca="1"/>
        <v/>
      </c>
      <c r="T27" s="202" t="str">
        <f t="shared" ca="1" si="5"/>
        <v/>
      </c>
      <c r="U27" s="603" t="str">
        <f t="shared" ca="1" si="0"/>
        <v/>
      </c>
      <c r="V27" s="604" t="str">
        <f t="shared" ca="1" si="1"/>
        <v/>
      </c>
      <c r="W27" s="605" t="str">
        <f t="shared" ca="1" si="2"/>
        <v/>
      </c>
      <c r="X27" s="606" t="str">
        <f t="shared" ca="1" si="3"/>
        <v/>
      </c>
    </row>
    <row r="28" spans="4:24" ht="16.149999999999999" customHeight="1" thickTop="1" thickBot="1" x14ac:dyDescent="0.25">
      <c r="D28" s="119"/>
      <c r="E28" s="807" t="str">
        <f ca="1">$A$1</f>
        <v>VISITOR NUMBERS</v>
      </c>
      <c r="F28" s="806"/>
      <c r="G28" s="806"/>
      <c r="H28" s="806"/>
      <c r="I28" s="806"/>
      <c r="J28" s="806"/>
      <c r="K28" s="806"/>
      <c r="L28" s="806"/>
      <c r="M28" s="806"/>
      <c r="N28" s="806"/>
      <c r="O28" s="806"/>
      <c r="P28" s="806"/>
      <c r="Q28" s="806"/>
      <c r="R28" s="806"/>
      <c r="S28" s="807" t="str">
        <f>UPPER(TYPE.userselected)</f>
        <v>TOTAL</v>
      </c>
      <c r="T28" s="806"/>
      <c r="U28" s="806"/>
      <c r="V28" s="806"/>
      <c r="W28" s="806"/>
      <c r="X28" s="808"/>
    </row>
    <row r="29" spans="4:24" ht="16.149999999999999" customHeight="1" thickTop="1" thickBot="1" x14ac:dyDescent="0.25">
      <c r="D29" s="203" t="str">
        <f t="shared" ref="D29:D35" ca="1" si="6">"'"&amp;$A$1&amp;"'!"&amp;CELL("address",G29)&amp;":"&amp;CELL("address",OFFSET(G29,0,YEARSINREP-1))</f>
        <v>'VISITOR NUMBERS'!$G$29:$K$29</v>
      </c>
      <c r="E29" s="896" t="s">
        <v>122</v>
      </c>
      <c r="F29" s="897"/>
      <c r="G29" s="204">
        <f t="array" ref="G29:R29">TRANSPOSE(REP.yearsrange)</f>
        <v>2009</v>
      </c>
      <c r="H29" s="204">
        <v>2010</v>
      </c>
      <c r="I29" s="205">
        <v>2011</v>
      </c>
      <c r="J29" s="205">
        <v>2012</v>
      </c>
      <c r="K29" s="205">
        <v>2013</v>
      </c>
      <c r="L29" s="205">
        <v>0</v>
      </c>
      <c r="M29" s="205">
        <v>0</v>
      </c>
      <c r="N29" s="205">
        <v>0</v>
      </c>
      <c r="O29" s="205">
        <v>0</v>
      </c>
      <c r="P29" s="205">
        <v>0</v>
      </c>
      <c r="Q29" s="205">
        <v>0</v>
      </c>
      <c r="R29" s="205">
        <v>0</v>
      </c>
      <c r="S29" s="205"/>
      <c r="T29" s="206"/>
      <c r="U29" s="206"/>
      <c r="V29" s="206"/>
      <c r="W29" s="206"/>
      <c r="X29" s="206"/>
    </row>
    <row r="30" spans="4:24" ht="16.149999999999999" customHeight="1" thickTop="1" thickBot="1" x14ac:dyDescent="0.25">
      <c r="D30" s="203" t="str">
        <f t="shared" ca="1" si="6"/>
        <v>'VISITOR NUMBERS'!$G$30:$K$30</v>
      </c>
      <c r="E30" s="207" t="str">
        <f>IF(TYPE.userselected="SFR",TYPE.userselected,PROPER(VISTYPE.short))</f>
        <v>Total</v>
      </c>
      <c r="F30" s="201" t="str">
        <f ca="1">$F$16</f>
        <v>000s</v>
      </c>
      <c r="G30" s="608">
        <f t="array" ref="G30:R30" ca="1">TN.SHARE_VT_ANN</f>
        <v>629.52525395568227</v>
      </c>
      <c r="H30" s="608">
        <f ca="1"/>
        <v>636.97276002791421</v>
      </c>
      <c r="I30" s="608">
        <f ca="1"/>
        <v>629.41927707778814</v>
      </c>
      <c r="J30" s="608">
        <f ca="1"/>
        <v>643.73735169723886</v>
      </c>
      <c r="K30" s="608">
        <f ca="1"/>
        <v>700.77906247732744</v>
      </c>
      <c r="L30" s="608" t="str">
        <f ca="1"/>
        <v/>
      </c>
      <c r="M30" s="608" t="str">
        <f ca="1"/>
        <v/>
      </c>
      <c r="N30" s="608" t="str">
        <f ca="1"/>
        <v/>
      </c>
      <c r="O30" s="608" t="str">
        <f ca="1"/>
        <v/>
      </c>
      <c r="P30" s="608" t="str">
        <f ca="1"/>
        <v/>
      </c>
      <c r="Q30" s="608" t="str">
        <f ca="1"/>
        <v/>
      </c>
      <c r="R30" s="608" t="str">
        <f ca="1"/>
        <v/>
      </c>
      <c r="S30" s="208"/>
      <c r="T30" s="206"/>
      <c r="U30" s="206"/>
      <c r="V30" s="206"/>
      <c r="W30" s="206"/>
      <c r="X30" s="206"/>
    </row>
    <row r="31" spans="4:24" ht="16.149999999999999" customHeight="1" thickTop="1" thickBot="1" x14ac:dyDescent="0.25">
      <c r="D31" s="203" t="str">
        <f t="shared" ca="1" si="6"/>
        <v>'VISITOR NUMBERS'!$G$31:$K$31</v>
      </c>
      <c r="E31" s="207" t="s">
        <v>98</v>
      </c>
      <c r="F31" s="201" t="str">
        <f>IF($A$4=1,"000s",IF(A4=1000,"M","Bn"))</f>
        <v>000s</v>
      </c>
      <c r="G31" s="609">
        <f t="array" aca="1" ref="G31:R31" ca="1">TN.SHARE_TOTAL_ANN</f>
        <v>629.52525395568227</v>
      </c>
      <c r="H31" s="609">
        <f ca="1"/>
        <v>636.97276002791421</v>
      </c>
      <c r="I31" s="609">
        <f ca="1"/>
        <v>629.41927707778814</v>
      </c>
      <c r="J31" s="609">
        <f ca="1"/>
        <v>643.73735169723886</v>
      </c>
      <c r="K31" s="609">
        <f ca="1"/>
        <v>700.77906247732744</v>
      </c>
      <c r="L31" s="609" t="str">
        <f ca="1"/>
        <v/>
      </c>
      <c r="M31" s="609" t="str">
        <f ca="1"/>
        <v/>
      </c>
      <c r="N31" s="609" t="str">
        <f ca="1"/>
        <v/>
      </c>
      <c r="O31" s="609" t="str">
        <f ca="1"/>
        <v/>
      </c>
      <c r="P31" s="609" t="str">
        <f ca="1"/>
        <v/>
      </c>
      <c r="Q31" s="609" t="str">
        <f ca="1"/>
        <v/>
      </c>
      <c r="R31" s="609" t="str">
        <f ca="1"/>
        <v/>
      </c>
      <c r="S31" s="209"/>
      <c r="T31" s="206"/>
      <c r="U31" s="206"/>
      <c r="V31" s="206"/>
      <c r="W31" s="206"/>
      <c r="X31" s="206"/>
    </row>
    <row r="32" spans="4:24" ht="16.149999999999999" customHeight="1" thickTop="1" thickBot="1" x14ac:dyDescent="0.25">
      <c r="D32" s="203" t="str">
        <f t="shared" ca="1" si="6"/>
        <v>'VISITOR NUMBERS'!$G$32:$K$32</v>
      </c>
      <c r="E32" s="207" t="s">
        <v>123</v>
      </c>
      <c r="F32" s="201" t="s">
        <v>119</v>
      </c>
      <c r="G32" s="142">
        <f t="array" ref="G32:R32" ca="1">IFERROR((TN.SHARE_VT_ANN*$A$2)/(TN.SHARE_TOTAL_ANN*$A$4),"")</f>
        <v>1</v>
      </c>
      <c r="H32" s="142">
        <f ca="1"/>
        <v>1</v>
      </c>
      <c r="I32" s="142">
        <f ca="1"/>
        <v>1</v>
      </c>
      <c r="J32" s="142">
        <f ca="1"/>
        <v>1</v>
      </c>
      <c r="K32" s="142">
        <f ca="1"/>
        <v>1</v>
      </c>
      <c r="L32" s="142" t="str">
        <f ca="1"/>
        <v/>
      </c>
      <c r="M32" s="142" t="str">
        <f ca="1"/>
        <v/>
      </c>
      <c r="N32" s="142" t="str">
        <f ca="1"/>
        <v/>
      </c>
      <c r="O32" s="142" t="str">
        <f ca="1"/>
        <v/>
      </c>
      <c r="P32" s="142" t="str">
        <f ca="1"/>
        <v/>
      </c>
      <c r="Q32" s="142" t="str">
        <f ca="1"/>
        <v/>
      </c>
      <c r="R32" s="142" t="str">
        <f ca="1"/>
        <v/>
      </c>
      <c r="S32" s="142"/>
      <c r="T32" s="206"/>
      <c r="U32" s="206"/>
      <c r="V32" s="206"/>
      <c r="W32" s="206"/>
      <c r="X32" s="206"/>
    </row>
    <row r="33" spans="4:24" ht="16.149999999999999" customHeight="1" thickTop="1" thickBot="1" x14ac:dyDescent="0.25">
      <c r="D33" s="203" t="str">
        <f t="shared" ca="1" si="6"/>
        <v>'VISITOR NUMBERS'!$G$33:$K$33</v>
      </c>
      <c r="E33" s="207" t="s">
        <v>124</v>
      </c>
      <c r="F33" s="201" t="s">
        <v>119</v>
      </c>
      <c r="G33" s="202">
        <f ca="1">G32/G32-1</f>
        <v>0</v>
      </c>
      <c r="H33" s="142">
        <f ca="1">IFERROR(H32/G32-1,"")</f>
        <v>0</v>
      </c>
      <c r="I33" s="142">
        <f t="shared" ref="I33:R33" ca="1" si="7">IFERROR(I32/H32-1,"")</f>
        <v>0</v>
      </c>
      <c r="J33" s="142">
        <f t="shared" ca="1" si="7"/>
        <v>0</v>
      </c>
      <c r="K33" s="142">
        <f t="shared" ca="1" si="7"/>
        <v>0</v>
      </c>
      <c r="L33" s="142" t="str">
        <f t="shared" ca="1" si="7"/>
        <v/>
      </c>
      <c r="M33" s="142" t="str">
        <f t="shared" ca="1" si="7"/>
        <v/>
      </c>
      <c r="N33" s="142" t="str">
        <f t="shared" ca="1" si="7"/>
        <v/>
      </c>
      <c r="O33" s="142" t="str">
        <f t="shared" ca="1" si="7"/>
        <v/>
      </c>
      <c r="P33" s="142" t="str">
        <f t="shared" ca="1" si="7"/>
        <v/>
      </c>
      <c r="Q33" s="142" t="str">
        <f t="shared" ca="1" si="7"/>
        <v/>
      </c>
      <c r="R33" s="142" t="str">
        <f t="shared" ca="1" si="7"/>
        <v/>
      </c>
      <c r="S33" s="142"/>
      <c r="T33" s="206"/>
      <c r="U33" s="206"/>
      <c r="V33" s="206"/>
      <c r="W33" s="206"/>
      <c r="X33" s="206"/>
    </row>
    <row r="34" spans="4:24" ht="16.149999999999999" customHeight="1" thickTop="1" thickBot="1" x14ac:dyDescent="0.25">
      <c r="D34" s="203" t="str">
        <f t="shared" ca="1" si="6"/>
        <v>'VISITOR NUMBERS'!$G$34:$K$34</v>
      </c>
      <c r="E34" s="207" t="str">
        <f>"Change in Share from "&amp;MIN(REP.yearsrange)</f>
        <v>Change in Share from 2009</v>
      </c>
      <c r="F34" s="201" t="s">
        <v>119</v>
      </c>
      <c r="G34" s="202">
        <f ca="1">G32/$G$32-1</f>
        <v>0</v>
      </c>
      <c r="H34" s="142">
        <f t="shared" ref="H34:R34" ca="1" si="8">IFERROR(H32/$G$32-1,"")</f>
        <v>0</v>
      </c>
      <c r="I34" s="142">
        <f t="shared" ca="1" si="8"/>
        <v>0</v>
      </c>
      <c r="J34" s="142">
        <f t="shared" ca="1" si="8"/>
        <v>0</v>
      </c>
      <c r="K34" s="142">
        <f t="shared" ca="1" si="8"/>
        <v>0</v>
      </c>
      <c r="L34" s="142" t="str">
        <f t="shared" ca="1" si="8"/>
        <v/>
      </c>
      <c r="M34" s="142" t="str">
        <f t="shared" ca="1" si="8"/>
        <v/>
      </c>
      <c r="N34" s="142" t="str">
        <f t="shared" ca="1" si="8"/>
        <v/>
      </c>
      <c r="O34" s="142" t="str">
        <f t="shared" ca="1" si="8"/>
        <v/>
      </c>
      <c r="P34" s="142" t="str">
        <f t="shared" ca="1" si="8"/>
        <v/>
      </c>
      <c r="Q34" s="142" t="str">
        <f t="shared" ca="1" si="8"/>
        <v/>
      </c>
      <c r="R34" s="142" t="str">
        <f t="shared" ca="1" si="8"/>
        <v/>
      </c>
      <c r="S34" s="142"/>
      <c r="T34" s="206"/>
      <c r="U34" s="206"/>
      <c r="V34" s="206"/>
      <c r="W34" s="206"/>
      <c r="X34" s="206"/>
    </row>
    <row r="35" spans="4:24" ht="16.149999999999999" customHeight="1" thickTop="1" thickBot="1" x14ac:dyDescent="0.25">
      <c r="D35" s="203" t="str">
        <f t="shared" ca="1" si="6"/>
        <v>'VISITOR NUMBERS'!$G$35:$K$35</v>
      </c>
      <c r="E35" s="207" t="s">
        <v>149</v>
      </c>
      <c r="F35" s="201" t="s">
        <v>119</v>
      </c>
      <c r="G35" s="202" t="str">
        <f ca="1">IFERROR(G34/(COUNT($G29:G29)-1),"")</f>
        <v/>
      </c>
      <c r="H35" s="142">
        <f ca="1">IFERROR(H34/(COUNT($G29:H29)-1),"")</f>
        <v>0</v>
      </c>
      <c r="I35" s="142">
        <f ca="1">IFERROR(I34/(COUNT($G29:I29)-1),"")</f>
        <v>0</v>
      </c>
      <c r="J35" s="142">
        <f ca="1">IFERROR(J34/(COUNT($G29:J29)-1),"")</f>
        <v>0</v>
      </c>
      <c r="K35" s="142">
        <f ca="1">IFERROR(K34/(COUNT($G29:K29)-1),"")</f>
        <v>0</v>
      </c>
      <c r="L35" s="142" t="str">
        <f ca="1">IFERROR(L34/(COUNT($G29:L29)-1),"")</f>
        <v/>
      </c>
      <c r="M35" s="142" t="str">
        <f ca="1">IFERROR(M34/(COUNT($G29:M29)-1),"")</f>
        <v/>
      </c>
      <c r="N35" s="142" t="str">
        <f ca="1">IFERROR(N34/(COUNT($G29:N29)-1),"")</f>
        <v/>
      </c>
      <c r="O35" s="142" t="str">
        <f ca="1">IFERROR(O34/(COUNT($G29:O29)-1),"")</f>
        <v/>
      </c>
      <c r="P35" s="142" t="str">
        <f ca="1">IFERROR(P34/(COUNT($G29:P29)-1),"")</f>
        <v/>
      </c>
      <c r="Q35" s="142" t="str">
        <f ca="1">IFERROR(Q34/(COUNT($G29:Q29)-1),"")</f>
        <v/>
      </c>
      <c r="R35" s="142" t="str">
        <f ca="1">IFERROR(R34/(COUNT($G29:R29)-1),"")</f>
        <v/>
      </c>
      <c r="S35" s="142"/>
      <c r="T35" s="206"/>
      <c r="U35" s="206"/>
      <c r="V35" s="206"/>
      <c r="W35" s="206"/>
      <c r="X35" s="206"/>
    </row>
    <row r="36" spans="4:24" ht="16.149999999999999" customHeight="1" thickTop="1" thickBot="1" x14ac:dyDescent="0.25">
      <c r="D36" s="203"/>
      <c r="E36" s="670"/>
      <c r="F36" s="274"/>
      <c r="G36" s="202"/>
      <c r="H36" s="142"/>
      <c r="I36" s="142"/>
      <c r="J36" s="142"/>
      <c r="K36" s="142"/>
      <c r="L36" s="142"/>
      <c r="M36" s="142"/>
      <c r="N36" s="142"/>
      <c r="O36" s="142"/>
      <c r="P36" s="142"/>
      <c r="Q36" s="142"/>
      <c r="R36" s="142"/>
      <c r="S36" s="142"/>
      <c r="T36" s="206"/>
      <c r="U36" s="206"/>
      <c r="V36" s="206"/>
      <c r="W36" s="206"/>
      <c r="X36" s="206"/>
    </row>
    <row r="37" spans="4:24" ht="16.149999999999999" customHeight="1" thickTop="1" thickBot="1" x14ac:dyDescent="0.25">
      <c r="D37" s="119"/>
      <c r="E37" s="210"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136"/>
      <c r="G37" s="136"/>
      <c r="H37" s="136"/>
      <c r="I37" s="136"/>
      <c r="J37" s="136"/>
      <c r="K37" s="136"/>
      <c r="L37" s="136"/>
      <c r="M37" s="136"/>
      <c r="N37" s="136"/>
      <c r="O37" s="136"/>
      <c r="P37" s="136"/>
      <c r="Q37" s="136"/>
      <c r="R37" s="136"/>
      <c r="S37" s="206"/>
      <c r="T37" s="206"/>
      <c r="U37" s="206"/>
      <c r="V37" s="206"/>
      <c r="W37" s="206"/>
      <c r="X37" s="206"/>
    </row>
    <row r="38" spans="4:24" s="48"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83"/>
      <c r="H40" s="83"/>
      <c r="I40" s="83"/>
      <c r="J40" s="83"/>
      <c r="K40" s="83"/>
      <c r="L40" s="83"/>
      <c r="M40" s="83"/>
      <c r="N40" s="83"/>
      <c r="O40" s="83"/>
      <c r="P40" s="83"/>
      <c r="Q40" s="83"/>
      <c r="R40" s="83"/>
      <c r="S40" s="83"/>
      <c r="T40" s="83"/>
      <c r="U40" s="83"/>
      <c r="V40" s="83"/>
    </row>
    <row r="41" spans="4:24" ht="16.149999999999999" customHeight="1" x14ac:dyDescent="0.2">
      <c r="G41" s="83"/>
      <c r="H41" s="83"/>
      <c r="I41" s="83"/>
      <c r="J41" s="83"/>
      <c r="K41" s="83"/>
      <c r="L41" s="83"/>
      <c r="M41" s="83"/>
      <c r="N41" s="83"/>
      <c r="O41" s="83"/>
      <c r="P41" s="83"/>
      <c r="Q41" s="83"/>
      <c r="R41" s="83"/>
      <c r="S41" s="83"/>
      <c r="T41" s="83"/>
      <c r="U41" s="83"/>
      <c r="V41" s="83"/>
    </row>
    <row r="70" spans="7:23" ht="16.149999999999999" customHeight="1" x14ac:dyDescent="0.2">
      <c r="G70" s="45" t="s">
        <v>44</v>
      </c>
      <c r="H70" s="45" t="s">
        <v>44</v>
      </c>
      <c r="J70" s="45" t="s">
        <v>49</v>
      </c>
      <c r="K70" s="45" t="s">
        <v>49</v>
      </c>
      <c r="M70" s="45" t="s">
        <v>19</v>
      </c>
      <c r="N70" s="45" t="s">
        <v>19</v>
      </c>
      <c r="P70" s="45" t="s">
        <v>97</v>
      </c>
      <c r="S70" s="45" t="s">
        <v>73</v>
      </c>
      <c r="T70" s="45" t="s">
        <v>73</v>
      </c>
      <c r="V70" s="45" t="s">
        <v>55</v>
      </c>
      <c r="W70" s="45" t="s">
        <v>55</v>
      </c>
    </row>
  </sheetData>
  <sheetProtection algorithmName="SHA-512" hashValue="Pn773TbmI7a/SfMGLm/M+rMVtH7buZMD5GZG5my6CYo0bb2qbQizRvB6kMOXL9AHkyBEKPL23LMFAEp2aN/Y5Q==" saltValue="tVeiy8MJBpwEyGacu3gYDg==" spinCount="100000" sheet="1" objects="1" scenarios="1"/>
  <mergeCells count="26">
    <mergeCell ref="E15:F15"/>
    <mergeCell ref="S6:T7"/>
    <mergeCell ref="U6:X7"/>
    <mergeCell ref="E8:F8"/>
    <mergeCell ref="G8:R8"/>
    <mergeCell ref="S8:T9"/>
    <mergeCell ref="U8:X11"/>
    <mergeCell ref="E9:F9"/>
    <mergeCell ref="G9:R9"/>
    <mergeCell ref="P6:R7"/>
    <mergeCell ref="E28:R28"/>
    <mergeCell ref="S28:X28"/>
    <mergeCell ref="E29:F29"/>
    <mergeCell ref="E10:F10"/>
    <mergeCell ref="G10:R10"/>
    <mergeCell ref="S10:S12"/>
    <mergeCell ref="T10:T12"/>
    <mergeCell ref="E11:F11"/>
    <mergeCell ref="G11:I11"/>
    <mergeCell ref="J11:L11"/>
    <mergeCell ref="M11:O11"/>
    <mergeCell ref="P11:R11"/>
    <mergeCell ref="E12:F12"/>
    <mergeCell ref="E13:F13"/>
    <mergeCell ref="T13:T16"/>
    <mergeCell ref="E14:F14"/>
  </mergeCells>
  <conditionalFormatting sqref="T17:T27">
    <cfRule type="cellIs" dxfId="135" priority="49" operator="greaterThanOrEqual">
      <formula>REP.percenthighlight</formula>
    </cfRule>
    <cfRule type="cellIs" dxfId="134" priority="50" operator="lessThanOrEqual">
      <formula>-REP.percenthighlight</formula>
    </cfRule>
  </conditionalFormatting>
  <conditionalFormatting sqref="G13:S15">
    <cfRule type="cellIs" dxfId="133" priority="47" operator="lessThanOrEqual">
      <formula>-REP.percenthighlight</formula>
    </cfRule>
    <cfRule type="cellIs" dxfId="132" priority="48" operator="greaterThanOrEqual">
      <formula>REP.percenthighlight</formula>
    </cfRule>
  </conditionalFormatting>
  <conditionalFormatting sqref="U13:X15">
    <cfRule type="cellIs" dxfId="131" priority="44" operator="lessThanOrEqual">
      <formula>-REP.percenthighlight</formula>
    </cfRule>
    <cfRule type="cellIs" dxfId="130" priority="45" operator="greaterThanOrEqual">
      <formula>REP.percenthighlight</formula>
    </cfRule>
  </conditionalFormatting>
  <conditionalFormatting sqref="I29:Q29">
    <cfRule type="expression" dxfId="129" priority="37">
      <formula>I29=0</formula>
    </cfRule>
  </conditionalFormatting>
  <conditionalFormatting sqref="G33:Q34">
    <cfRule type="cellIs" dxfId="128" priority="35" operator="lessThanOrEqual">
      <formula>-REP.percenthighlight</formula>
    </cfRule>
    <cfRule type="cellIs" dxfId="127" priority="36" operator="greaterThanOrEqual">
      <formula>REP.percenthighlight</formula>
    </cfRule>
  </conditionalFormatting>
  <conditionalFormatting sqref="H35:Q36 G30:Q34">
    <cfRule type="expression" dxfId="126" priority="32" stopIfTrue="1">
      <formula>G$29=0</formula>
    </cfRule>
  </conditionalFormatting>
  <conditionalFormatting sqref="H35:Q36">
    <cfRule type="cellIs" dxfId="125" priority="33" operator="lessThanOrEqual">
      <formula>-REP.percenthighlight</formula>
    </cfRule>
    <cfRule type="cellIs" dxfId="124" priority="34" operator="greaterThanOrEqual">
      <formula>REP.percenthighlight</formula>
    </cfRule>
  </conditionalFormatting>
  <conditionalFormatting sqref="E16:X27">
    <cfRule type="expression" dxfId="123" priority="31">
      <formula>$E16=0</formula>
    </cfRule>
  </conditionalFormatting>
  <conditionalFormatting sqref="R29:S29">
    <cfRule type="expression" dxfId="122" priority="29">
      <formula>R29=0</formula>
    </cfRule>
  </conditionalFormatting>
  <conditionalFormatting sqref="R33:S34">
    <cfRule type="cellIs" dxfId="121" priority="27" operator="lessThanOrEqual">
      <formula>-REP.percenthighlight</formula>
    </cfRule>
    <cfRule type="cellIs" dxfId="120" priority="28" operator="greaterThanOrEqual">
      <formula>REP.percenthighlight</formula>
    </cfRule>
  </conditionalFormatting>
  <conditionalFormatting sqref="R30:S36">
    <cfRule type="expression" dxfId="119" priority="24" stopIfTrue="1">
      <formula>R$29=0</formula>
    </cfRule>
  </conditionalFormatting>
  <conditionalFormatting sqref="R35:S36">
    <cfRule type="cellIs" dxfId="118" priority="25" operator="lessThanOrEqual">
      <formula>-REP.percenthighlight</formula>
    </cfRule>
    <cfRule type="cellIs" dxfId="117" priority="26" operator="greaterThanOrEqual">
      <formula>REP.percenthighlight</formula>
    </cfRule>
  </conditionalFormatting>
  <conditionalFormatting sqref="U16:X27 G16:S27 U16:X27 G30:R31">
    <cfRule type="expression" dxfId="116" priority="23">
      <formula>AND($A$2&gt;1,G16&lt;10)</formula>
    </cfRule>
  </conditionalFormatting>
  <conditionalFormatting sqref="S6:T7">
    <cfRule type="expression" dxfId="115" priority="14">
      <formula>TYPE.no=6</formula>
    </cfRule>
    <cfRule type="expression" dxfId="114" priority="15">
      <formula>TYPE.no=5</formula>
    </cfRule>
    <cfRule type="expression" dxfId="113" priority="16">
      <formula>TYPE.no=4</formula>
    </cfRule>
    <cfRule type="expression" dxfId="112" priority="17">
      <formula>TYPE.no=3</formula>
    </cfRule>
    <cfRule type="expression" dxfId="111" priority="18">
      <formula>TYPE.no=2</formula>
    </cfRule>
    <cfRule type="expression" dxfId="110" priority="19">
      <formula>TYPE.no=1</formula>
    </cfRule>
  </conditionalFormatting>
  <conditionalFormatting sqref="G9:R9">
    <cfRule type="expression" dxfId="109" priority="8">
      <formula>TYPE.no=6</formula>
    </cfRule>
    <cfRule type="expression" dxfId="108" priority="9">
      <formula>TYPE.no=5</formula>
    </cfRule>
    <cfRule type="expression" dxfId="107" priority="10">
      <formula>TYPE.no=4</formula>
    </cfRule>
    <cfRule type="expression" dxfId="106" priority="11">
      <formula>TYPE.no=3</formula>
    </cfRule>
    <cfRule type="expression" dxfId="105" priority="12">
      <formula>TYPE.no=2</formula>
    </cfRule>
    <cfRule type="expression" dxfId="104" priority="13">
      <formula>TYPE.no=1</formula>
    </cfRule>
  </conditionalFormatting>
  <conditionalFormatting sqref="S28:X28">
    <cfRule type="expression" dxfId="103" priority="2">
      <formula>TYPE.no=6</formula>
    </cfRule>
    <cfRule type="expression" dxfId="102" priority="3">
      <formula>TYPE.no=5</formula>
    </cfRule>
    <cfRule type="expression" dxfId="101" priority="4">
      <formula>TYPE.no=4</formula>
    </cfRule>
    <cfRule type="expression" dxfId="100" priority="5">
      <formula>TYPE.no=3</formula>
    </cfRule>
    <cfRule type="expression" dxfId="99" priority="6">
      <formula>TYPE.no=2</formula>
    </cfRule>
    <cfRule type="expression" dxfId="98" priority="7">
      <formula>TYPE.no=1</formula>
    </cfRule>
  </conditionalFormatting>
  <conditionalFormatting sqref="G16:S27 U16:X27 G30:R31">
    <cfRule type="expression" dxfId="97" priority="1">
      <formula>$A$2=1</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8787" r:id="rId4" name="Drop Down 3">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18789" r:id="rId5" name="Drop Down 5">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5">
    <tabColor rgb="FFFF0000"/>
    <outlinePr showOutlineSymbols="0"/>
    <pageSetUpPr autoPageBreaks="0" fitToPage="1"/>
  </sheetPr>
  <dimension ref="A1:Y70"/>
  <sheetViews>
    <sheetView showGridLines="0" showRowColHeaders="0" showZeros="0" showOutlineSymbols="0" zoomScaleNormal="100" workbookViewId="0">
      <pane ySplit="7" topLeftCell="A8" activePane="bottomLeft" state="frozen"/>
      <selection activeCell="S29" sqref="S29"/>
      <selection pane="bottomLeft" activeCell="E6" sqref="E6"/>
    </sheetView>
  </sheetViews>
  <sheetFormatPr defaultColWidth="4.85546875" defaultRowHeight="16.149999999999999" customHeight="1" x14ac:dyDescent="0.2"/>
  <cols>
    <col min="1" max="3" width="4.85546875" style="45"/>
    <col min="4" max="4" width="4.85546875" style="46"/>
    <col min="5" max="5" width="19.5703125" style="45" customWidth="1"/>
    <col min="6" max="6" width="5.140625" style="45" customWidth="1"/>
    <col min="7" max="24" width="7.28515625" style="45" customWidth="1"/>
    <col min="25" max="25" width="4.85546875" style="45"/>
    <col min="26" max="26" width="8.42578125" style="45" bestFit="1" customWidth="1"/>
    <col min="27" max="16384" width="4.85546875" style="45"/>
  </cols>
  <sheetData>
    <row r="1" spans="1:25" ht="16.149999999999999" hidden="1" customHeight="1" thickTop="1" thickBot="1" x14ac:dyDescent="0.25">
      <c r="A1" s="43" t="str">
        <f ca="1">MID(CELL("filename",A1),FIND("]",CELL("filename",A1))+1,255)</f>
        <v>VISITOR DAYS</v>
      </c>
      <c r="E1" s="59"/>
      <c r="F1" s="60"/>
      <c r="G1" s="60"/>
      <c r="H1" s="60"/>
      <c r="I1" s="60"/>
      <c r="J1" s="60"/>
      <c r="K1" s="60"/>
      <c r="L1" s="60"/>
      <c r="M1" s="60"/>
      <c r="N1" s="60"/>
      <c r="O1" s="60"/>
      <c r="P1" s="60"/>
      <c r="Q1" s="60"/>
      <c r="R1" s="60"/>
      <c r="S1" s="60"/>
      <c r="T1" s="60"/>
      <c r="U1" s="60"/>
      <c r="V1" s="60"/>
      <c r="W1" s="60"/>
      <c r="X1" s="61"/>
    </row>
    <row r="2" spans="1:25" ht="16.149999999999999" customHeight="1" thickTop="1" x14ac:dyDescent="0.2">
      <c r="A2" s="625">
        <f ca="1">'VISITOR NUMBERS'!A2</f>
        <v>1</v>
      </c>
      <c r="B2" s="625"/>
      <c r="C2" s="625"/>
      <c r="D2" s="629"/>
      <c r="E2" s="50"/>
      <c r="F2" s="51"/>
      <c r="G2" s="51"/>
      <c r="H2" s="51"/>
      <c r="I2" s="51"/>
      <c r="J2" s="51"/>
      <c r="K2" s="51"/>
      <c r="L2" s="51"/>
      <c r="M2" s="51"/>
      <c r="N2" s="51"/>
      <c r="O2" s="51"/>
      <c r="P2" s="51"/>
      <c r="Q2" s="51"/>
      <c r="R2" s="51"/>
      <c r="S2" s="51"/>
      <c r="T2" s="51"/>
      <c r="U2" s="51"/>
      <c r="V2" s="51"/>
      <c r="W2" s="51"/>
      <c r="X2" s="52"/>
    </row>
    <row r="3" spans="1:25" ht="26.45" customHeight="1" x14ac:dyDescent="0.2">
      <c r="A3" s="625">
        <f t="array" aca="1" ref="A3" ca="1">IFERROR(AVERAGE(IF(TYPE.no=5,(INDEX(DATA!T:T,MATCH(REP.yearsrange&amp;"."&amp;'VISITOR DAYS'!$A$1&amp;"."&amp;TOTAL,REP.lookup,0))-INDEX(DATA!T:T,MATCH(REP.yearsrange&amp;"."&amp;'VISITOR DAYS'!$A$1&amp;"."&amp;DV,REP.lookup,0))),INDEX(DATA!T:T,MATCH(REP.yearsrange&amp;"."&amp;'VISITOR DAYS'!$A$1&amp;"."&amp;TYPE.userselected,REP.lookup,0)))),0)</f>
        <v>1678.5141259630402</v>
      </c>
      <c r="B3" s="625"/>
      <c r="C3" s="625"/>
      <c r="D3" s="629"/>
      <c r="E3" s="53"/>
      <c r="F3" s="49"/>
      <c r="G3" s="49"/>
      <c r="H3" s="49"/>
      <c r="I3" s="49"/>
      <c r="J3" s="49"/>
      <c r="K3" s="49"/>
      <c r="L3" s="49"/>
      <c r="M3" s="49"/>
      <c r="N3" s="49"/>
      <c r="O3" s="49"/>
      <c r="P3" s="49"/>
      <c r="Q3" s="49"/>
      <c r="R3" s="49"/>
      <c r="S3" s="49"/>
      <c r="T3" s="49"/>
      <c r="U3" s="49"/>
      <c r="V3" s="49"/>
      <c r="W3" s="49"/>
      <c r="X3" s="54"/>
    </row>
    <row r="4" spans="1:25" ht="26.45" customHeight="1" x14ac:dyDescent="0.2">
      <c r="A4" s="625">
        <f>IF(($A$5/1000000)&gt;1,1000000,IF(($A$5/1000)&gt;1,1000,1))</f>
        <v>1000</v>
      </c>
      <c r="B4" s="625"/>
      <c r="C4" s="625"/>
      <c r="D4" s="629"/>
      <c r="E4" s="64"/>
      <c r="F4" s="65"/>
      <c r="G4" s="65"/>
      <c r="H4" s="65"/>
      <c r="I4" s="65"/>
      <c r="J4" s="65"/>
      <c r="K4" s="65"/>
      <c r="L4" s="65"/>
      <c r="M4" s="65"/>
      <c r="N4" s="65"/>
      <c r="O4" s="65"/>
      <c r="P4" s="65"/>
      <c r="Q4" s="65"/>
      <c r="R4" s="65"/>
      <c r="S4" s="65"/>
      <c r="T4" s="65"/>
      <c r="U4" s="65"/>
      <c r="V4" s="65"/>
      <c r="W4" s="65"/>
      <c r="X4" s="66"/>
    </row>
    <row r="5" spans="1:25" ht="26.45" customHeight="1" thickBot="1" x14ac:dyDescent="0.25">
      <c r="A5" s="625">
        <f>VLOOKUP(FOCUSYEAR&amp;".Visitor DAYS.TOTAL",REP.data,18,FALSE)</f>
        <v>1749.0039133046166</v>
      </c>
      <c r="B5" s="625"/>
      <c r="C5" s="625"/>
      <c r="D5" s="629"/>
      <c r="E5" s="56"/>
      <c r="F5" s="57"/>
      <c r="G5" s="57"/>
      <c r="H5" s="57"/>
      <c r="I5" s="57"/>
      <c r="J5" s="57"/>
      <c r="K5" s="57"/>
      <c r="L5" s="57"/>
      <c r="M5" s="57"/>
      <c r="N5" s="57"/>
      <c r="O5" s="57"/>
      <c r="P5" s="57"/>
      <c r="Q5" s="57"/>
      <c r="R5" s="57"/>
      <c r="S5" s="57"/>
      <c r="T5" s="57"/>
      <c r="U5" s="57"/>
      <c r="V5" s="57"/>
      <c r="W5" s="57"/>
      <c r="X5" s="58"/>
    </row>
    <row r="6" spans="1:25" ht="16.149999999999999" customHeight="1" thickTop="1" x14ac:dyDescent="0.2">
      <c r="D6" s="119"/>
      <c r="E6" s="384" t="str">
        <f>REP.title1</f>
        <v>STEAM FINAL TREND REPORT FOR 2009-2013</v>
      </c>
      <c r="F6" s="391"/>
      <c r="G6" s="391"/>
      <c r="H6" s="391"/>
      <c r="I6" s="391"/>
      <c r="J6" s="391"/>
      <c r="K6" s="391"/>
      <c r="L6" s="391"/>
      <c r="M6" s="391"/>
      <c r="N6" s="391"/>
      <c r="O6" s="392"/>
      <c r="P6" s="976" t="str">
        <f>MIN(REP.yearsrange)&amp;" to "&amp;MAX(REP.yearsrange)</f>
        <v>2009 to 2013</v>
      </c>
      <c r="Q6" s="977"/>
      <c r="R6" s="978"/>
      <c r="S6" s="869" t="str">
        <f>UPPER(VISTYPE.short)</f>
        <v>TOTAL</v>
      </c>
      <c r="T6" s="870"/>
      <c r="U6" s="970" t="str">
        <f ca="1">$A$1</f>
        <v>VISITOR DAYS</v>
      </c>
      <c r="V6" s="971"/>
      <c r="W6" s="971"/>
      <c r="X6" s="972"/>
    </row>
    <row r="7" spans="1:25" ht="16.149999999999999" customHeight="1" thickBot="1" x14ac:dyDescent="0.25">
      <c r="D7" s="119"/>
      <c r="E7" s="385" t="str">
        <f>REP.title2</f>
        <v>MORAY HIE</v>
      </c>
      <c r="F7" s="386"/>
      <c r="G7" s="386"/>
      <c r="H7" s="386"/>
      <c r="I7" s="387"/>
      <c r="J7" s="387"/>
      <c r="K7" s="387"/>
      <c r="L7" s="387"/>
      <c r="M7" s="387"/>
      <c r="N7" s="387"/>
      <c r="O7" s="393"/>
      <c r="P7" s="979"/>
      <c r="Q7" s="980"/>
      <c r="R7" s="981"/>
      <c r="S7" s="871"/>
      <c r="T7" s="872"/>
      <c r="U7" s="973"/>
      <c r="V7" s="974"/>
      <c r="W7" s="974"/>
      <c r="X7" s="975"/>
    </row>
    <row r="8" spans="1:25" ht="16.149999999999999" customHeight="1" thickTop="1" thickBot="1" x14ac:dyDescent="0.25">
      <c r="D8" s="119"/>
      <c r="E8" s="807" t="str">
        <f ca="1">$A$1&amp;" BY:"</f>
        <v>VISITOR DAYS BY:</v>
      </c>
      <c r="F8" s="808"/>
      <c r="G8" s="807" t="s">
        <v>134</v>
      </c>
      <c r="H8" s="806"/>
      <c r="I8" s="806"/>
      <c r="J8" s="806"/>
      <c r="K8" s="806"/>
      <c r="L8" s="806"/>
      <c r="M8" s="806"/>
      <c r="N8" s="806"/>
      <c r="O8" s="806"/>
      <c r="P8" s="806"/>
      <c r="Q8" s="806"/>
      <c r="R8" s="806"/>
      <c r="S8" s="923" t="s">
        <v>125</v>
      </c>
      <c r="T8" s="924"/>
      <c r="U8" s="927" t="s">
        <v>126</v>
      </c>
      <c r="V8" s="928"/>
      <c r="W8" s="928"/>
      <c r="X8" s="929"/>
    </row>
    <row r="9" spans="1:25" s="41" customFormat="1" ht="16.149999999999999" customHeight="1" thickTop="1" thickBot="1" x14ac:dyDescent="0.25">
      <c r="D9" s="132"/>
      <c r="E9" s="812" t="s">
        <v>92</v>
      </c>
      <c r="F9" s="813"/>
      <c r="G9" s="938" t="str">
        <f>UPPER(TYPE.userselected)</f>
        <v>TOTAL</v>
      </c>
      <c r="H9" s="938"/>
      <c r="I9" s="938"/>
      <c r="J9" s="938"/>
      <c r="K9" s="938"/>
      <c r="L9" s="938"/>
      <c r="M9" s="938"/>
      <c r="N9" s="938"/>
      <c r="O9" s="938"/>
      <c r="P9" s="938"/>
      <c r="Q9" s="938"/>
      <c r="R9" s="939"/>
      <c r="S9" s="925"/>
      <c r="T9" s="926"/>
      <c r="U9" s="930"/>
      <c r="V9" s="931"/>
      <c r="W9" s="931"/>
      <c r="X9" s="932"/>
    </row>
    <row r="10" spans="1:25" s="41" customFormat="1" ht="16.149999999999999" customHeight="1" thickTop="1" thickBot="1" x14ac:dyDescent="0.25">
      <c r="D10" s="132"/>
      <c r="E10" s="785" t="str">
        <f>REP.highlightup</f>
        <v>An increase of 3% or more</v>
      </c>
      <c r="F10" s="786"/>
      <c r="G10" s="807" t="str">
        <f ca="1">U6&amp;" IN "&amp;IF($A$2=1,"THOUSANDS",IF($A$2=1000,"MILLIONS","BILLIONS"))&amp;" / PERCENTAGE CHANGES"</f>
        <v>VISITOR DAYS IN THOUSANDS / PERCENTAGE CHANGES</v>
      </c>
      <c r="H10" s="806"/>
      <c r="I10" s="806"/>
      <c r="J10" s="806"/>
      <c r="K10" s="806"/>
      <c r="L10" s="806"/>
      <c r="M10" s="806"/>
      <c r="N10" s="806"/>
      <c r="O10" s="806"/>
      <c r="P10" s="806"/>
      <c r="Q10" s="806"/>
      <c r="R10" s="808"/>
      <c r="S10" s="920" t="s">
        <v>39</v>
      </c>
      <c r="T10" s="920" t="s">
        <v>120</v>
      </c>
      <c r="U10" s="930"/>
      <c r="V10" s="931"/>
      <c r="W10" s="931"/>
      <c r="X10" s="932"/>
    </row>
    <row r="11" spans="1:25" s="41" customFormat="1" ht="16.149999999999999" customHeight="1" thickTop="1" thickBot="1" x14ac:dyDescent="0.25">
      <c r="D11" s="132"/>
      <c r="E11" s="796" t="str">
        <f>REP.highlightsame</f>
        <v>Less than 3% change</v>
      </c>
      <c r="F11" s="797"/>
      <c r="G11" s="940" t="s">
        <v>93</v>
      </c>
      <c r="H11" s="941"/>
      <c r="I11" s="942"/>
      <c r="J11" s="943" t="s">
        <v>94</v>
      </c>
      <c r="K11" s="944"/>
      <c r="L11" s="945"/>
      <c r="M11" s="946" t="s">
        <v>95</v>
      </c>
      <c r="N11" s="947"/>
      <c r="O11" s="948"/>
      <c r="P11" s="949" t="s">
        <v>96</v>
      </c>
      <c r="Q11" s="950"/>
      <c r="R11" s="951"/>
      <c r="S11" s="921"/>
      <c r="T11" s="921"/>
      <c r="U11" s="933"/>
      <c r="V11" s="934"/>
      <c r="W11" s="934"/>
      <c r="X11" s="935"/>
    </row>
    <row r="12" spans="1:25" ht="16.149999999999999" customHeight="1" thickTop="1" thickBot="1" x14ac:dyDescent="0.25">
      <c r="D12" s="119"/>
      <c r="E12" s="777" t="str">
        <f>REP.highlightdown</f>
        <v>A Fall of 3% or more</v>
      </c>
      <c r="F12" s="778"/>
      <c r="G12" s="191" t="s">
        <v>27</v>
      </c>
      <c r="H12" s="191" t="s">
        <v>28</v>
      </c>
      <c r="I12" s="191" t="s">
        <v>29</v>
      </c>
      <c r="J12" s="192" t="s">
        <v>30</v>
      </c>
      <c r="K12" s="192" t="s">
        <v>31</v>
      </c>
      <c r="L12" s="192" t="s">
        <v>32</v>
      </c>
      <c r="M12" s="193" t="s">
        <v>33</v>
      </c>
      <c r="N12" s="193" t="s">
        <v>34</v>
      </c>
      <c r="O12" s="193" t="s">
        <v>35</v>
      </c>
      <c r="P12" s="194" t="s">
        <v>36</v>
      </c>
      <c r="Q12" s="194" t="s">
        <v>37</v>
      </c>
      <c r="R12" s="194" t="s">
        <v>38</v>
      </c>
      <c r="S12" s="922"/>
      <c r="T12" s="922"/>
      <c r="U12" s="195" t="s">
        <v>93</v>
      </c>
      <c r="V12" s="196" t="s">
        <v>94</v>
      </c>
      <c r="W12" s="197" t="s">
        <v>95</v>
      </c>
      <c r="X12" s="198" t="s">
        <v>96</v>
      </c>
    </row>
    <row r="13" spans="1:25" ht="16.149999999999999" customHeight="1" thickTop="1" thickBot="1" x14ac:dyDescent="0.25">
      <c r="D13" s="119"/>
      <c r="E13" s="936" t="str">
        <f>"% Change "&amp;MIN(REP.yearsrange)&amp;" to "&amp;MAX(REP.yearsrange)</f>
        <v>% Change 2009 to 2013</v>
      </c>
      <c r="F13" s="936"/>
      <c r="G13" s="142">
        <f ca="1">INDEX(G$16:G$27,MATCH(MAX(REP.yearsrange),$E$16:$E$27,0))/INDEX(G$16:G$27,MATCH(MIN(REP.yearsrange),$E$16:$E$27,0))-1</f>
        <v>2.7499511361694928E-3</v>
      </c>
      <c r="H13" s="142">
        <f ca="1">INDEX(H$16:H$27,MATCH(MAX(REP.yearsrange),$E$16:$E$27,0))/INDEX(H$16:H$27,MATCH(MIN(REP.yearsrange),$E$16:$E$27,0))-1</f>
        <v>0.1585649538895737</v>
      </c>
      <c r="I13" s="142">
        <f ca="1">INDEX(I$16:I$27,MATCH(MAX(REP.yearsrange),$E$16:$E$27,0))/INDEX(I$16:I$27,MATCH(MIN(REP.yearsrange),$E$16:$E$27,0))-1</f>
        <v>0.39669379111242886</v>
      </c>
      <c r="J13" s="142">
        <f ca="1">INDEX(J$16:J$27,MATCH(MAX(REP.yearsrange),$E$16:$E$27,0))/INDEX(J$16:J$27,MATCH(MIN(REP.yearsrange),$E$16:$E$27,0))-1</f>
        <v>0.13287016034359955</v>
      </c>
      <c r="K13" s="142">
        <f ca="1">INDEX(K$16:K$27,MATCH(MAX(REP.yearsrange),$E$16:$E$27,0))/INDEX(K$16:K$27,MATCH(MIN(REP.yearsrange),$E$16:$E$27,0))-1</f>
        <v>3.7530851087963946E-2</v>
      </c>
      <c r="L13" s="142">
        <f ca="1">INDEX(L$16:L$27,MATCH(MAX(REP.yearsrange),$E$16:$E$27,0))/INDEX(L$16:L$27,MATCH(MIN(REP.yearsrange),$E$16:$E$27,0))-1</f>
        <v>7.8634257065153923E-2</v>
      </c>
      <c r="M13" s="199">
        <f ca="1">INDEX(M$16:M$27,MATCH(MAX(REP.yearsrange),$E$16:$E$27,0))/INDEX(M$16:M$27,MATCH(MIN(REP.yearsrange),$E$16:$E$27,0))-1</f>
        <v>1.0772462427105722E-2</v>
      </c>
      <c r="N13" s="199">
        <f ca="1">INDEX(N$16:N$27,MATCH(MAX(REP.yearsrange),$E$16:$E$27,0))/INDEX(N$16:N$27,MATCH(MIN(REP.yearsrange),$E$16:$E$27,0))-1</f>
        <v>-1.9384763807019922E-2</v>
      </c>
      <c r="O13" s="199">
        <f ca="1">INDEX(O$16:O$27,MATCH(MAX(REP.yearsrange),$E$16:$E$27,0))/INDEX(O$16:O$27,MATCH(MIN(REP.yearsrange),$E$16:$E$27,0))-1</f>
        <v>4.2907262282988912E-2</v>
      </c>
      <c r="P13" s="199">
        <f ca="1">INDEX(P$16:P$27,MATCH(MAX(REP.yearsrange),$E$16:$E$27,0))/INDEX(P$16:P$27,MATCH(MIN(REP.yearsrange),$E$16:$E$27,0))-1</f>
        <v>-2.3244687872517322E-2</v>
      </c>
      <c r="Q13" s="199">
        <f ca="1">INDEX(Q$16:Q$27,MATCH(MAX(REP.yearsrange),$E$16:$E$27,0))/INDEX(Q$16:Q$27,MATCH(MIN(REP.yearsrange),$E$16:$E$27,0))-1</f>
        <v>-0.14749812760918546</v>
      </c>
      <c r="R13" s="199">
        <f ca="1">INDEX(R$16:R$27,MATCH(MAX(REP.yearsrange),$E$16:$E$27,0))/INDEX(R$16:R$27,MATCH(MIN(REP.yearsrange),$E$16:$E$27,0))-1</f>
        <v>-4.8346967441141642E-2</v>
      </c>
      <c r="S13" s="199">
        <f ca="1">INDEX(S$16:S$27,MATCH(MAX(REP.yearsrange),$E$16:$E$27,0))/INDEX(S$16:S$27,MATCH(MIN(REP.yearsrange),$E$16:$E$27,0))-1</f>
        <v>4.1995349488723077E-2</v>
      </c>
      <c r="T13" s="937" t="str">
        <f>"Annual"&amp;CHAR(10)&amp;"Change"</f>
        <v>Annual
Change</v>
      </c>
      <c r="U13" s="142">
        <f ca="1">INDEX(U$16:U$27,MATCH(MAX(REP.yearsrange),$E$16:$E$27,0))/INDEX(U$16:U$27,MATCH(MIN(REP.yearsrange),$E$16:$E$27,0))-1</f>
        <v>0.18696259556599104</v>
      </c>
      <c r="V13" s="142">
        <f ca="1">INDEX(V$16:V$27,MATCH(MAX(REP.yearsrange),$E$16:$E$27,0))/INDEX(V$16:V$27,MATCH(MIN(REP.yearsrange),$E$16:$E$27,0))-1</f>
        <v>7.8766270955156203E-2</v>
      </c>
      <c r="W13" s="142">
        <f ca="1">INDEX(W$16:W$27,MATCH(MAX(REP.yearsrange),$E$16:$E$27,0))/INDEX(W$16:W$27,MATCH(MIN(REP.yearsrange),$E$16:$E$27,0))-1</f>
        <v>5.8331287573978319E-3</v>
      </c>
      <c r="X13" s="142">
        <f ca="1">INDEX(X$16:X$27,MATCH(MAX(REP.yearsrange),$E$16:$E$27,0))/INDEX(X$16:X$27,MATCH(MIN(REP.yearsrange),$E$16:$E$27,0))-1</f>
        <v>-6.3834705990273966E-2</v>
      </c>
    </row>
    <row r="14" spans="1:25" ht="16.149999999999999" customHeight="1" thickTop="1" thickBot="1" x14ac:dyDescent="0.25">
      <c r="D14" s="119"/>
      <c r="E14" s="936" t="str">
        <f>"% Change "&amp;INDEX(REP.yearsrange,COUNT(REP.yearsrange)-1)&amp;" to "&amp;MAX(REP.yearsrange)</f>
        <v>% Change 2012 to 2013</v>
      </c>
      <c r="F14" s="936"/>
      <c r="G14" s="142">
        <f ca="1">INDEX(G$16:G$27,MATCH(MAX(REP.yearsrange),$E$16:$E$27,0))/INDEX(G$16:G$27,MATCH(INDEX(REP.yearsrange,COUNT(REP.yearsrange)-1),$E$16:$E$27,0))-1</f>
        <v>2.6506210261896479E-2</v>
      </c>
      <c r="H14" s="142">
        <f ca="1">INDEX(H$16:H$27,MATCH(MAX(REP.yearsrange),$E$16:$E$27,0))/INDEX(H$16:H$27,MATCH(INDEX(REP.yearsrange,COUNT(REP.yearsrange)-1),$E$16:$E$27,0))-1</f>
        <v>6.759373373227251E-2</v>
      </c>
      <c r="I14" s="142">
        <f ca="1">INDEX(I$16:I$27,MATCH(MAX(REP.yearsrange),$E$16:$E$27,0))/INDEX(I$16:I$27,MATCH(INDEX(REP.yearsrange,COUNT(REP.yearsrange)-1),$E$16:$E$27,0))-1</f>
        <v>0.24037730959474413</v>
      </c>
      <c r="J14" s="142">
        <f ca="1">INDEX(J$16:J$27,MATCH(MAX(REP.yearsrange),$E$16:$E$27,0))/INDEX(J$16:J$27,MATCH(INDEX(REP.yearsrange,COUNT(REP.yearsrange)-1),$E$16:$E$27,0))-1</f>
        <v>8.4291375452123507E-2</v>
      </c>
      <c r="K14" s="142">
        <f ca="1">INDEX(K$16:K$27,MATCH(MAX(REP.yearsrange),$E$16:$E$27,0))/INDEX(K$16:K$27,MATCH(INDEX(REP.yearsrange,COUNT(REP.yearsrange)-1),$E$16:$E$27,0))-1</f>
        <v>0.1308446729294781</v>
      </c>
      <c r="L14" s="142">
        <f ca="1">INDEX(L$16:L$27,MATCH(MAX(REP.yearsrange),$E$16:$E$27,0))/INDEX(L$16:L$27,MATCH(INDEX(REP.yearsrange,COUNT(REP.yearsrange)-1),$E$16:$E$27,0))-1</f>
        <v>4.2494709863403202E-3</v>
      </c>
      <c r="M14" s="199">
        <f ca="1">INDEX(M$16:M$27,MATCH(MAX(REP.yearsrange),$E$16:$E$27,0))/INDEX(M$16:M$27,MATCH(INDEX(REP.yearsrange,COUNT(REP.yearsrange)-1),$E$16:$E$27,0))-1</f>
        <v>0.13474731976056287</v>
      </c>
      <c r="N14" s="199">
        <f ca="1">INDEX(N$16:N$27,MATCH(MAX(REP.yearsrange),$E$16:$E$27,0))/INDEX(N$16:N$27,MATCH(INDEX(REP.yearsrange,COUNT(REP.yearsrange)-1),$E$16:$E$27,0))-1</f>
        <v>8.3399594975734237E-2</v>
      </c>
      <c r="O14" s="199">
        <f ca="1">INDEX(O$16:O$27,MATCH(MAX(REP.yearsrange),$E$16:$E$27,0))/INDEX(O$16:O$27,MATCH(INDEX(REP.yearsrange,COUNT(REP.yearsrange)-1),$E$16:$E$27,0))-1</f>
        <v>3.3976020964164633E-2</v>
      </c>
      <c r="P14" s="199">
        <f ca="1">INDEX(P$16:P$27,MATCH(MAX(REP.yearsrange),$E$16:$E$27,0))/INDEX(P$16:P$27,MATCH(INDEX(REP.yearsrange,COUNT(REP.yearsrange)-1),$E$16:$E$27,0))-1</f>
        <v>3.8236720364194898E-2</v>
      </c>
      <c r="Q14" s="199">
        <f ca="1">INDEX(Q$16:Q$27,MATCH(MAX(REP.yearsrange),$E$16:$E$27,0))/INDEX(Q$16:Q$27,MATCH(INDEX(REP.yearsrange,COUNT(REP.yearsrange)-1),$E$16:$E$27,0))-1</f>
        <v>-3.6780388610840653E-2</v>
      </c>
      <c r="R14" s="199">
        <f ca="1">INDEX(R$16:R$27,MATCH(MAX(REP.yearsrange),$E$16:$E$27,0))/INDEX(R$16:R$27,MATCH(INDEX(REP.yearsrange,COUNT(REP.yearsrange)-1),$E$16:$E$27,0))-1</f>
        <v>-0.10799200549313992</v>
      </c>
      <c r="S14" s="199">
        <f ca="1">INDEX(S$16:S$27,MATCH(MAX(REP.yearsrange),$E$16:$E$27,0))/INDEX(S$16:S$27,MATCH(INDEX(REP.yearsrange,COUNT(REP.yearsrange)-1),$E$16:$E$27,0))-1</f>
        <v>6.6487452973744032E-2</v>
      </c>
      <c r="T14" s="937"/>
      <c r="U14" s="142">
        <f ca="1">INDEX(U$16:U$27,MATCH(MAX(REP.yearsrange),$E$16:$E$27,0))/INDEX(U$16:U$27,MATCH(INDEX(REP.yearsrange,COUNT(REP.yearsrange)-1),$E$16:$E$27,0))-1</f>
        <v>0.11830973584838689</v>
      </c>
      <c r="V14" s="142">
        <f ca="1">INDEX(V$16:V$27,MATCH(MAX(REP.yearsrange),$E$16:$E$27,0))/INDEX(V$16:V$27,MATCH(INDEX(REP.yearsrange,COUNT(REP.yearsrange)-1),$E$16:$E$27,0))-1</f>
        <v>6.8544763943156672E-2</v>
      </c>
      <c r="W14" s="142">
        <f ca="1">INDEX(W$16:W$27,MATCH(MAX(REP.yearsrange),$E$16:$E$27,0))/INDEX(W$16:W$27,MATCH(INDEX(REP.yearsrange,COUNT(REP.yearsrange)-1),$E$16:$E$27,0))-1</f>
        <v>8.8818060812059896E-2</v>
      </c>
      <c r="X14" s="142">
        <f ca="1">INDEX(X$16:X$27,MATCH(MAX(REP.yearsrange),$E$16:$E$27,0))/INDEX(X$16:X$27,MATCH(INDEX(REP.yearsrange,COUNT(REP.yearsrange)-1),$E$16:$E$27,0))-1</f>
        <v>-3.1112767083290804E-2</v>
      </c>
    </row>
    <row r="15" spans="1:25" ht="16.149999999999999" customHeight="1" thickTop="1" thickBot="1" x14ac:dyDescent="0.25">
      <c r="D15" s="119"/>
      <c r="E15" s="936" t="s">
        <v>118</v>
      </c>
      <c r="F15" s="936"/>
      <c r="G15" s="142">
        <f ca="1">G14/(COUNT(REP.yearsrange)-1)</f>
        <v>6.6265525654741197E-3</v>
      </c>
      <c r="H15" s="142">
        <f ca="1">H14/(COUNT(REP.yearsrange)-1)</f>
        <v>1.6898433433068127E-2</v>
      </c>
      <c r="I15" s="142">
        <f ca="1">I14/(COUNT(REP.yearsrange)-1)</f>
        <v>6.0094327398686032E-2</v>
      </c>
      <c r="J15" s="142">
        <f ca="1">J14/(COUNT(REP.yearsrange)-1)</f>
        <v>2.1072843863030877E-2</v>
      </c>
      <c r="K15" s="142">
        <f ca="1">K14/(COUNT(REP.yearsrange)-1)</f>
        <v>3.2711168232369525E-2</v>
      </c>
      <c r="L15" s="142">
        <f ca="1">L14/(COUNT(REP.yearsrange)-1)</f>
        <v>1.06236774658508E-3</v>
      </c>
      <c r="M15" s="199">
        <f ca="1">M14/(COUNT(REP.yearsrange)-1)</f>
        <v>3.3686829940140717E-2</v>
      </c>
      <c r="N15" s="199">
        <f ca="1">N14/(COUNT(REP.yearsrange)-1)</f>
        <v>2.0849898743933559E-2</v>
      </c>
      <c r="O15" s="199">
        <f ca="1">O14/(COUNT(REP.yearsrange)-1)</f>
        <v>8.4940052410411582E-3</v>
      </c>
      <c r="P15" s="199">
        <f ca="1">P14/(COUNT(REP.yearsrange)-1)</f>
        <v>9.5591800910487246E-3</v>
      </c>
      <c r="Q15" s="199">
        <f ca="1">Q14/(COUNT(REP.yearsrange)-1)</f>
        <v>-9.1950971527101633E-3</v>
      </c>
      <c r="R15" s="199">
        <f ca="1">R14/(COUNT(REP.yearsrange)-1)</f>
        <v>-2.699800137328498E-2</v>
      </c>
      <c r="S15" s="199">
        <f ca="1">S14/(COUNT(REP.yearsrange)-1)</f>
        <v>1.6621863243436008E-2</v>
      </c>
      <c r="T15" s="937"/>
      <c r="U15" s="142">
        <f ca="1">U14/(COUNT(REP.yearsrange)-1)</f>
        <v>2.9577433962096722E-2</v>
      </c>
      <c r="V15" s="142">
        <f ca="1">V14/(COUNT(REP.yearsrange)-1)</f>
        <v>1.7136190985789168E-2</v>
      </c>
      <c r="W15" s="142">
        <f ca="1">W14/(COUNT(REP.yearsrange)-1)</f>
        <v>2.2204515203014974E-2</v>
      </c>
      <c r="X15" s="142">
        <f ca="1">X14/(COUNT(REP.yearsrange)-1)</f>
        <v>-7.7781917708227011E-3</v>
      </c>
    </row>
    <row r="16" spans="1:25" ht="16.149999999999999" customHeight="1" thickTop="1" thickBot="1" x14ac:dyDescent="0.25">
      <c r="D16" s="119"/>
      <c r="E16" s="200">
        <f t="array" ref="E16:E27">INDEX(REP.yearsrange,REP.yearnos)</f>
        <v>2009</v>
      </c>
      <c r="F16" s="201" t="str">
        <f ca="1">IF($A$2=1,"000s",IF(A2=1000,"M","Bn"))</f>
        <v>000s</v>
      </c>
      <c r="G16" s="596">
        <f t="array" ref="G16:G27" ca="1">TD.MONTHLYDATA</f>
        <v>91.873834028561831</v>
      </c>
      <c r="H16" s="596">
        <f t="array" ref="H16:H27" ca="1">TD.MONTHLYDATA</f>
        <v>78.307859573458714</v>
      </c>
      <c r="I16" s="596">
        <f t="array" ref="I16:I27" ca="1">TD.MONTHLYDATA</f>
        <v>91.298199140253999</v>
      </c>
      <c r="J16" s="597">
        <f t="array" ref="J16:J27" ca="1">TD.MONTHLYDATA</f>
        <v>130.21545151558917</v>
      </c>
      <c r="K16" s="597">
        <f t="array" ref="K16:K27" ca="1">TD.MONTHLYDATA</f>
        <v>170.30161258490369</v>
      </c>
      <c r="L16" s="597">
        <f t="array" ref="L16:L27" ca="1">TD.MONTHLYDATA</f>
        <v>171.9810428043524</v>
      </c>
      <c r="M16" s="598">
        <f t="array" ref="M16:M27" ca="1">TD.MONTHLYDATA</f>
        <v>231.18000435854674</v>
      </c>
      <c r="N16" s="598">
        <f t="array" ref="N16:N27" ca="1">TD.MONTHLYDATA</f>
        <v>262.43881470906717</v>
      </c>
      <c r="O16" s="598">
        <f t="array" ref="O16:O27" ca="1">TD.MONTHLYDATA</f>
        <v>147.71157499864347</v>
      </c>
      <c r="P16" s="599">
        <f t="array" ref="P16:P27" ca="1">TD.MONTHLYDATA</f>
        <v>127.2615529148421</v>
      </c>
      <c r="Q16" s="599">
        <f t="array" ref="Q16:Q27" ca="1">TD.MONTHLYDATA</f>
        <v>79.580775191269055</v>
      </c>
      <c r="R16" s="599">
        <f t="array" ref="R16:R27" ca="1">TD.MONTHLYDATA</f>
        <v>96.363404143551946</v>
      </c>
      <c r="S16" s="600">
        <f t="array" ref="S16:S27" ca="1">TD.MONTHLYDATA</f>
        <v>1678.5141259630402</v>
      </c>
      <c r="T16" s="937"/>
      <c r="U16" s="596">
        <f ca="1">IF(SUM(G16:I16)=0,"",SUM(G16:I16))</f>
        <v>261.47989274227456</v>
      </c>
      <c r="V16" s="597">
        <f ca="1">IF(SUM(J16:L16)=0,"",SUM(J16:L16))</f>
        <v>472.49810690484526</v>
      </c>
      <c r="W16" s="598">
        <f ca="1">IF(SUM(M16:O16)=0,"",SUM(M16:O16))</f>
        <v>641.33039406625744</v>
      </c>
      <c r="X16" s="599">
        <f ca="1">IF(SUM(P16:R16)=0,"",SUM(P16:R16))</f>
        <v>303.20573224966313</v>
      </c>
      <c r="Y16" s="80"/>
    </row>
    <row r="17" spans="4:24" ht="16.149999999999999" customHeight="1" thickTop="1" thickBot="1" x14ac:dyDescent="0.25">
      <c r="D17" s="119"/>
      <c r="E17" s="200">
        <v>2010</v>
      </c>
      <c r="F17" s="201" t="str">
        <f ca="1">$F$16</f>
        <v>000s</v>
      </c>
      <c r="G17" s="596">
        <f ca="1"/>
        <v>87.71981264605347</v>
      </c>
      <c r="H17" s="596">
        <f ca="1"/>
        <v>76.78834126420108</v>
      </c>
      <c r="I17" s="596">
        <f ca="1"/>
        <v>106.84601168580889</v>
      </c>
      <c r="J17" s="597">
        <f ca="1"/>
        <v>144.24664416325729</v>
      </c>
      <c r="K17" s="597">
        <f ca="1"/>
        <v>182.04400818810231</v>
      </c>
      <c r="L17" s="597">
        <f ca="1"/>
        <v>198.76776289807466</v>
      </c>
      <c r="M17" s="598">
        <f ca="1"/>
        <v>214.69207114449031</v>
      </c>
      <c r="N17" s="598">
        <f ca="1"/>
        <v>253.9799137241815</v>
      </c>
      <c r="O17" s="598">
        <f ca="1"/>
        <v>156.41661857509192</v>
      </c>
      <c r="P17" s="599">
        <f ca="1"/>
        <v>135.29324837818993</v>
      </c>
      <c r="Q17" s="599">
        <f ca="1"/>
        <v>76.111338101278847</v>
      </c>
      <c r="R17" s="599">
        <f ca="1"/>
        <v>102.15020378863531</v>
      </c>
      <c r="S17" s="600">
        <f ca="1"/>
        <v>1735.0559745573655</v>
      </c>
      <c r="T17" s="202">
        <f ca="1">IFERROR(IF(S17&lt;&gt;0,S17/S16-1,""),"")</f>
        <v>3.3685655497170508E-2</v>
      </c>
      <c r="U17" s="596">
        <f t="shared" ref="U17:U27" ca="1" si="0">IF(SUM(G17:I17)=0,"",SUM(G17:I17))</f>
        <v>271.35416559606347</v>
      </c>
      <c r="V17" s="597">
        <f t="shared" ref="V17:V27" ca="1" si="1">IF(SUM(J17:L17)=0,"",SUM(J17:L17))</f>
        <v>525.05841524943423</v>
      </c>
      <c r="W17" s="598">
        <f t="shared" ref="W17:W27" ca="1" si="2">IF(SUM(M17:O17)=0,"",SUM(M17:O17))</f>
        <v>625.08860344376376</v>
      </c>
      <c r="X17" s="599">
        <f t="shared" ref="X17:X27" ca="1" si="3">IF(SUM(P17:R17)=0,"",SUM(P17:R17))</f>
        <v>313.55479026810406</v>
      </c>
    </row>
    <row r="18" spans="4:24" ht="16.149999999999999" customHeight="1" thickTop="1" thickBot="1" x14ac:dyDescent="0.25">
      <c r="D18" s="119"/>
      <c r="E18" s="200">
        <v>2011</v>
      </c>
      <c r="F18" s="201" t="str">
        <f t="shared" ref="F18:F27" ca="1" si="4">$F$16</f>
        <v>000s</v>
      </c>
      <c r="G18" s="596">
        <f ca="1"/>
        <v>74.350823785598408</v>
      </c>
      <c r="H18" s="596">
        <f ca="1"/>
        <v>80.603320035995765</v>
      </c>
      <c r="I18" s="596">
        <f ca="1"/>
        <v>93.677594413170809</v>
      </c>
      <c r="J18" s="597">
        <f ca="1"/>
        <v>151.98902773385583</v>
      </c>
      <c r="K18" s="597">
        <f ca="1"/>
        <v>165.01476913143534</v>
      </c>
      <c r="L18" s="597">
        <f ca="1"/>
        <v>184.11593521765997</v>
      </c>
      <c r="M18" s="598">
        <f ca="1"/>
        <v>206.94115554137386</v>
      </c>
      <c r="N18" s="598">
        <f ca="1"/>
        <v>239.84396078955791</v>
      </c>
      <c r="O18" s="598">
        <f ca="1"/>
        <v>140.23783012458398</v>
      </c>
      <c r="P18" s="599">
        <f ca="1"/>
        <v>132.13717025384415</v>
      </c>
      <c r="Q18" s="599">
        <f ca="1"/>
        <v>78.140364314355338</v>
      </c>
      <c r="R18" s="599">
        <f ca="1"/>
        <v>107.2261595661966</v>
      </c>
      <c r="S18" s="600">
        <f ca="1"/>
        <v>1654.2781109076282</v>
      </c>
      <c r="T18" s="202">
        <f t="shared" ref="T18:T27" ca="1" si="5">IFERROR(IF(S18&lt;&gt;0,S18/S17-1,""),"")</f>
        <v>-4.6556344483551726E-2</v>
      </c>
      <c r="U18" s="596">
        <f t="shared" ca="1" si="0"/>
        <v>248.63173823476501</v>
      </c>
      <c r="V18" s="597">
        <f t="shared" ca="1" si="1"/>
        <v>501.11973208295115</v>
      </c>
      <c r="W18" s="598">
        <f t="shared" ca="1" si="2"/>
        <v>587.02294645551569</v>
      </c>
      <c r="X18" s="599">
        <f t="shared" ca="1" si="3"/>
        <v>317.50369413439608</v>
      </c>
    </row>
    <row r="19" spans="4:24" ht="16.149999999999999" customHeight="1" thickTop="1" thickBot="1" x14ac:dyDescent="0.25">
      <c r="D19" s="119"/>
      <c r="E19" s="200">
        <v>2012</v>
      </c>
      <c r="F19" s="201" t="str">
        <f t="shared" ca="1" si="4"/>
        <v>000s</v>
      </c>
      <c r="G19" s="596">
        <f ca="1"/>
        <v>89.747613469701591</v>
      </c>
      <c r="H19" s="596">
        <f ca="1"/>
        <v>84.980586574580855</v>
      </c>
      <c r="I19" s="596">
        <f ca="1"/>
        <v>102.80390240337493</v>
      </c>
      <c r="J19" s="597">
        <f ca="1"/>
        <v>136.04940773061907</v>
      </c>
      <c r="K19" s="597">
        <f ca="1"/>
        <v>156.24884767696722</v>
      </c>
      <c r="L19" s="597">
        <f ca="1"/>
        <v>184.71968339935157</v>
      </c>
      <c r="M19" s="598">
        <f ca="1"/>
        <v>205.92283251103242</v>
      </c>
      <c r="N19" s="598">
        <f ca="1"/>
        <v>237.54070194008307</v>
      </c>
      <c r="O19" s="598">
        <f ca="1"/>
        <v>148.98747279041851</v>
      </c>
      <c r="P19" s="599">
        <f ca="1"/>
        <v>119.72548784015397</v>
      </c>
      <c r="Q19" s="599">
        <f ca="1"/>
        <v>70.433324918526353</v>
      </c>
      <c r="R19" s="599">
        <f ca="1"/>
        <v>102.80684292701235</v>
      </c>
      <c r="S19" s="600">
        <f ca="1"/>
        <v>1639.9667041818218</v>
      </c>
      <c r="T19" s="202">
        <f t="shared" ca="1" si="5"/>
        <v>-8.6511491818955788E-3</v>
      </c>
      <c r="U19" s="596">
        <f t="shared" ca="1" si="0"/>
        <v>277.53210244765739</v>
      </c>
      <c r="V19" s="597">
        <f t="shared" ca="1" si="1"/>
        <v>477.01793880693788</v>
      </c>
      <c r="W19" s="598">
        <f t="shared" ca="1" si="2"/>
        <v>592.45100724153394</v>
      </c>
      <c r="X19" s="599">
        <f t="shared" ca="1" si="3"/>
        <v>292.9656556856927</v>
      </c>
    </row>
    <row r="20" spans="4:24" ht="16.149999999999999" customHeight="1" thickTop="1" thickBot="1" x14ac:dyDescent="0.25">
      <c r="D20" s="119"/>
      <c r="E20" s="200">
        <v>2013</v>
      </c>
      <c r="F20" s="201" t="str">
        <f t="shared" ca="1" si="4"/>
        <v>000s</v>
      </c>
      <c r="G20" s="596">
        <f ca="1"/>
        <v>92.126482582832921</v>
      </c>
      <c r="H20" s="596">
        <f ca="1"/>
        <v>90.7247417159154</v>
      </c>
      <c r="I20" s="596">
        <f ca="1"/>
        <v>127.51562787893886</v>
      </c>
      <c r="J20" s="597">
        <f ca="1"/>
        <v>147.51719943767972</v>
      </c>
      <c r="K20" s="597">
        <f ca="1"/>
        <v>176.69317704686785</v>
      </c>
      <c r="L20" s="597">
        <f ca="1"/>
        <v>185.50464433456307</v>
      </c>
      <c r="M20" s="598">
        <f ca="1"/>
        <v>233.67038226939732</v>
      </c>
      <c r="N20" s="598">
        <f ca="1"/>
        <v>257.35150027213763</v>
      </c>
      <c r="O20" s="598">
        <f ca="1"/>
        <v>154.04947428934366</v>
      </c>
      <c r="P20" s="599">
        <f ca="1"/>
        <v>124.30339783916475</v>
      </c>
      <c r="Q20" s="599">
        <f ca="1"/>
        <v>67.84275985686935</v>
      </c>
      <c r="R20" s="599">
        <f ca="1"/>
        <v>91.704525780906067</v>
      </c>
      <c r="S20" s="600">
        <f ca="1"/>
        <v>1749.0039133046166</v>
      </c>
      <c r="T20" s="202">
        <f t="shared" ca="1" si="5"/>
        <v>6.6487452973744032E-2</v>
      </c>
      <c r="U20" s="596">
        <f t="shared" ca="1" si="0"/>
        <v>310.36685217768718</v>
      </c>
      <c r="V20" s="597">
        <f t="shared" ca="1" si="1"/>
        <v>509.71502081911063</v>
      </c>
      <c r="W20" s="598">
        <f t="shared" ca="1" si="2"/>
        <v>645.07135683087859</v>
      </c>
      <c r="X20" s="599">
        <f t="shared" ca="1" si="3"/>
        <v>283.85068347694016</v>
      </c>
    </row>
    <row r="21" spans="4:24" ht="16.149999999999999" customHeight="1" thickTop="1" thickBot="1" x14ac:dyDescent="0.25">
      <c r="D21" s="119"/>
      <c r="E21" s="200">
        <v>0</v>
      </c>
      <c r="F21" s="201" t="str">
        <f t="shared" ca="1" si="4"/>
        <v>000s</v>
      </c>
      <c r="G21" s="596">
        <f ca="1"/>
        <v>0</v>
      </c>
      <c r="H21" s="596">
        <f ca="1"/>
        <v>0</v>
      </c>
      <c r="I21" s="596">
        <f ca="1"/>
        <v>0</v>
      </c>
      <c r="J21" s="597">
        <f ca="1"/>
        <v>0</v>
      </c>
      <c r="K21" s="597">
        <f ca="1"/>
        <v>0</v>
      </c>
      <c r="L21" s="597">
        <f ca="1"/>
        <v>0</v>
      </c>
      <c r="M21" s="598">
        <f ca="1"/>
        <v>0</v>
      </c>
      <c r="N21" s="598">
        <f ca="1"/>
        <v>0</v>
      </c>
      <c r="O21" s="598">
        <f ca="1"/>
        <v>0</v>
      </c>
      <c r="P21" s="599">
        <f ca="1"/>
        <v>0</v>
      </c>
      <c r="Q21" s="599">
        <f ca="1"/>
        <v>0</v>
      </c>
      <c r="R21" s="599">
        <f ca="1"/>
        <v>0</v>
      </c>
      <c r="S21" s="600">
        <f ca="1"/>
        <v>0</v>
      </c>
      <c r="T21" s="202" t="str">
        <f t="shared" ca="1" si="5"/>
        <v/>
      </c>
      <c r="U21" s="596" t="str">
        <f t="shared" ca="1" si="0"/>
        <v/>
      </c>
      <c r="V21" s="597" t="str">
        <f t="shared" ca="1" si="1"/>
        <v/>
      </c>
      <c r="W21" s="598" t="str">
        <f t="shared" ca="1" si="2"/>
        <v/>
      </c>
      <c r="X21" s="599" t="str">
        <f t="shared" ca="1" si="3"/>
        <v/>
      </c>
    </row>
    <row r="22" spans="4:24" ht="16.149999999999999" customHeight="1" thickTop="1" thickBot="1" x14ac:dyDescent="0.25">
      <c r="D22" s="119"/>
      <c r="E22" s="200">
        <v>0</v>
      </c>
      <c r="F22" s="201" t="str">
        <f t="shared" ca="1" si="4"/>
        <v>000s</v>
      </c>
      <c r="G22" s="596">
        <f ca="1"/>
        <v>0</v>
      </c>
      <c r="H22" s="596">
        <f ca="1"/>
        <v>0</v>
      </c>
      <c r="I22" s="596">
        <f ca="1"/>
        <v>0</v>
      </c>
      <c r="J22" s="597">
        <f ca="1"/>
        <v>0</v>
      </c>
      <c r="K22" s="597">
        <f ca="1"/>
        <v>0</v>
      </c>
      <c r="L22" s="597">
        <f ca="1"/>
        <v>0</v>
      </c>
      <c r="M22" s="598">
        <f ca="1"/>
        <v>0</v>
      </c>
      <c r="N22" s="598">
        <f ca="1"/>
        <v>0</v>
      </c>
      <c r="O22" s="598">
        <f ca="1"/>
        <v>0</v>
      </c>
      <c r="P22" s="599">
        <f ca="1"/>
        <v>0</v>
      </c>
      <c r="Q22" s="599">
        <f ca="1"/>
        <v>0</v>
      </c>
      <c r="R22" s="599">
        <f ca="1"/>
        <v>0</v>
      </c>
      <c r="S22" s="600">
        <f ca="1"/>
        <v>0</v>
      </c>
      <c r="T22" s="202" t="str">
        <f t="shared" ca="1" si="5"/>
        <v/>
      </c>
      <c r="U22" s="596" t="str">
        <f t="shared" ca="1" si="0"/>
        <v/>
      </c>
      <c r="V22" s="597" t="str">
        <f t="shared" ca="1" si="1"/>
        <v/>
      </c>
      <c r="W22" s="598" t="str">
        <f t="shared" ca="1" si="2"/>
        <v/>
      </c>
      <c r="X22" s="599" t="str">
        <f t="shared" ca="1" si="3"/>
        <v/>
      </c>
    </row>
    <row r="23" spans="4:24" ht="16.149999999999999" customHeight="1" thickTop="1" thickBot="1" x14ac:dyDescent="0.25">
      <c r="D23" s="119"/>
      <c r="E23" s="200">
        <v>0</v>
      </c>
      <c r="F23" s="201" t="str">
        <f t="shared" ca="1" si="4"/>
        <v>000s</v>
      </c>
      <c r="G23" s="596">
        <f ca="1"/>
        <v>0</v>
      </c>
      <c r="H23" s="596">
        <f ca="1"/>
        <v>0</v>
      </c>
      <c r="I23" s="596">
        <f ca="1"/>
        <v>0</v>
      </c>
      <c r="J23" s="597">
        <f ca="1"/>
        <v>0</v>
      </c>
      <c r="K23" s="597">
        <f ca="1"/>
        <v>0</v>
      </c>
      <c r="L23" s="597">
        <f ca="1"/>
        <v>0</v>
      </c>
      <c r="M23" s="598">
        <f ca="1"/>
        <v>0</v>
      </c>
      <c r="N23" s="598">
        <f ca="1"/>
        <v>0</v>
      </c>
      <c r="O23" s="598">
        <f ca="1"/>
        <v>0</v>
      </c>
      <c r="P23" s="599">
        <f ca="1"/>
        <v>0</v>
      </c>
      <c r="Q23" s="599">
        <f ca="1"/>
        <v>0</v>
      </c>
      <c r="R23" s="599">
        <f ca="1"/>
        <v>0</v>
      </c>
      <c r="S23" s="600">
        <f ca="1"/>
        <v>0</v>
      </c>
      <c r="T23" s="202" t="str">
        <f t="shared" ca="1" si="5"/>
        <v/>
      </c>
      <c r="U23" s="596" t="str">
        <f t="shared" ca="1" si="0"/>
        <v/>
      </c>
      <c r="V23" s="597" t="str">
        <f t="shared" ca="1" si="1"/>
        <v/>
      </c>
      <c r="W23" s="598" t="str">
        <f t="shared" ca="1" si="2"/>
        <v/>
      </c>
      <c r="X23" s="599" t="str">
        <f t="shared" ca="1" si="3"/>
        <v/>
      </c>
    </row>
    <row r="24" spans="4:24" ht="16.149999999999999" customHeight="1" thickTop="1" thickBot="1" x14ac:dyDescent="0.25">
      <c r="D24" s="119"/>
      <c r="E24" s="200">
        <v>0</v>
      </c>
      <c r="F24" s="201" t="str">
        <f t="shared" ca="1" si="4"/>
        <v>000s</v>
      </c>
      <c r="G24" s="596">
        <f ca="1"/>
        <v>0</v>
      </c>
      <c r="H24" s="596">
        <f ca="1"/>
        <v>0</v>
      </c>
      <c r="I24" s="596">
        <f ca="1"/>
        <v>0</v>
      </c>
      <c r="J24" s="597">
        <f ca="1"/>
        <v>0</v>
      </c>
      <c r="K24" s="597">
        <f ca="1"/>
        <v>0</v>
      </c>
      <c r="L24" s="597">
        <f ca="1"/>
        <v>0</v>
      </c>
      <c r="M24" s="598">
        <f ca="1"/>
        <v>0</v>
      </c>
      <c r="N24" s="598">
        <f ca="1"/>
        <v>0</v>
      </c>
      <c r="O24" s="598">
        <f ca="1"/>
        <v>0</v>
      </c>
      <c r="P24" s="599">
        <f ca="1"/>
        <v>0</v>
      </c>
      <c r="Q24" s="599">
        <f ca="1"/>
        <v>0</v>
      </c>
      <c r="R24" s="599">
        <f ca="1"/>
        <v>0</v>
      </c>
      <c r="S24" s="600">
        <f ca="1"/>
        <v>0</v>
      </c>
      <c r="T24" s="202" t="str">
        <f t="shared" ca="1" si="5"/>
        <v/>
      </c>
      <c r="U24" s="596" t="str">
        <f t="shared" ca="1" si="0"/>
        <v/>
      </c>
      <c r="V24" s="597" t="str">
        <f t="shared" ca="1" si="1"/>
        <v/>
      </c>
      <c r="W24" s="598" t="str">
        <f t="shared" ca="1" si="2"/>
        <v/>
      </c>
      <c r="X24" s="599" t="str">
        <f t="shared" ca="1" si="3"/>
        <v/>
      </c>
    </row>
    <row r="25" spans="4:24" ht="16.149999999999999" customHeight="1" thickTop="1" thickBot="1" x14ac:dyDescent="0.25">
      <c r="D25" s="119"/>
      <c r="E25" s="200">
        <v>0</v>
      </c>
      <c r="F25" s="201" t="str">
        <f t="shared" ca="1" si="4"/>
        <v>000s</v>
      </c>
      <c r="G25" s="596">
        <f ca="1"/>
        <v>0</v>
      </c>
      <c r="H25" s="596">
        <f ca="1"/>
        <v>0</v>
      </c>
      <c r="I25" s="596">
        <f ca="1"/>
        <v>0</v>
      </c>
      <c r="J25" s="597">
        <f ca="1"/>
        <v>0</v>
      </c>
      <c r="K25" s="597">
        <f ca="1"/>
        <v>0</v>
      </c>
      <c r="L25" s="597">
        <f ca="1"/>
        <v>0</v>
      </c>
      <c r="M25" s="598">
        <f ca="1"/>
        <v>0</v>
      </c>
      <c r="N25" s="598">
        <f ca="1"/>
        <v>0</v>
      </c>
      <c r="O25" s="598">
        <f ca="1"/>
        <v>0</v>
      </c>
      <c r="P25" s="599">
        <f ca="1"/>
        <v>0</v>
      </c>
      <c r="Q25" s="599">
        <f ca="1"/>
        <v>0</v>
      </c>
      <c r="R25" s="599">
        <f ca="1"/>
        <v>0</v>
      </c>
      <c r="S25" s="600">
        <f ca="1"/>
        <v>0</v>
      </c>
      <c r="T25" s="202" t="str">
        <f t="shared" ca="1" si="5"/>
        <v/>
      </c>
      <c r="U25" s="596" t="str">
        <f t="shared" ca="1" si="0"/>
        <v/>
      </c>
      <c r="V25" s="597" t="str">
        <f t="shared" ca="1" si="1"/>
        <v/>
      </c>
      <c r="W25" s="598" t="str">
        <f t="shared" ca="1" si="2"/>
        <v/>
      </c>
      <c r="X25" s="599" t="str">
        <f t="shared" ca="1" si="3"/>
        <v/>
      </c>
    </row>
    <row r="26" spans="4:24" ht="16.149999999999999" customHeight="1" thickTop="1" thickBot="1" x14ac:dyDescent="0.25">
      <c r="D26" s="119"/>
      <c r="E26" s="200">
        <v>0</v>
      </c>
      <c r="F26" s="201" t="str">
        <f t="shared" ca="1" si="4"/>
        <v>000s</v>
      </c>
      <c r="G26" s="596">
        <f ca="1"/>
        <v>0</v>
      </c>
      <c r="H26" s="596">
        <f ca="1"/>
        <v>0</v>
      </c>
      <c r="I26" s="596">
        <f ca="1"/>
        <v>0</v>
      </c>
      <c r="J26" s="597">
        <f ca="1"/>
        <v>0</v>
      </c>
      <c r="K26" s="597">
        <f ca="1"/>
        <v>0</v>
      </c>
      <c r="L26" s="597">
        <f ca="1"/>
        <v>0</v>
      </c>
      <c r="M26" s="598">
        <f ca="1"/>
        <v>0</v>
      </c>
      <c r="N26" s="598">
        <f ca="1"/>
        <v>0</v>
      </c>
      <c r="O26" s="598">
        <f ca="1"/>
        <v>0</v>
      </c>
      <c r="P26" s="599">
        <f ca="1"/>
        <v>0</v>
      </c>
      <c r="Q26" s="599">
        <f ca="1"/>
        <v>0</v>
      </c>
      <c r="R26" s="599">
        <f ca="1"/>
        <v>0</v>
      </c>
      <c r="S26" s="600">
        <f ca="1"/>
        <v>0</v>
      </c>
      <c r="T26" s="202" t="str">
        <f t="shared" ca="1" si="5"/>
        <v/>
      </c>
      <c r="U26" s="596" t="str">
        <f t="shared" ca="1" si="0"/>
        <v/>
      </c>
      <c r="V26" s="597" t="str">
        <f t="shared" ca="1" si="1"/>
        <v/>
      </c>
      <c r="W26" s="598" t="str">
        <f t="shared" ca="1" si="2"/>
        <v/>
      </c>
      <c r="X26" s="599" t="str">
        <f t="shared" ca="1" si="3"/>
        <v/>
      </c>
    </row>
    <row r="27" spans="4:24" ht="16.149999999999999" customHeight="1" thickTop="1" thickBot="1" x14ac:dyDescent="0.25">
      <c r="D27" s="119"/>
      <c r="E27" s="200">
        <v>0</v>
      </c>
      <c r="F27" s="201" t="str">
        <f t="shared" ca="1" si="4"/>
        <v>000s</v>
      </c>
      <c r="G27" s="596">
        <f ca="1"/>
        <v>0</v>
      </c>
      <c r="H27" s="596">
        <f ca="1"/>
        <v>0</v>
      </c>
      <c r="I27" s="596">
        <f ca="1"/>
        <v>0</v>
      </c>
      <c r="J27" s="597">
        <f ca="1"/>
        <v>0</v>
      </c>
      <c r="K27" s="597">
        <f ca="1"/>
        <v>0</v>
      </c>
      <c r="L27" s="597">
        <f ca="1"/>
        <v>0</v>
      </c>
      <c r="M27" s="598">
        <f ca="1"/>
        <v>0</v>
      </c>
      <c r="N27" s="598">
        <f ca="1"/>
        <v>0</v>
      </c>
      <c r="O27" s="598">
        <f ca="1"/>
        <v>0</v>
      </c>
      <c r="P27" s="599">
        <f ca="1"/>
        <v>0</v>
      </c>
      <c r="Q27" s="599">
        <f ca="1"/>
        <v>0</v>
      </c>
      <c r="R27" s="599">
        <f ca="1"/>
        <v>0</v>
      </c>
      <c r="S27" s="600">
        <f ca="1"/>
        <v>0</v>
      </c>
      <c r="T27" s="202" t="str">
        <f t="shared" ca="1" si="5"/>
        <v/>
      </c>
      <c r="U27" s="596" t="str">
        <f t="shared" ca="1" si="0"/>
        <v/>
      </c>
      <c r="V27" s="597" t="str">
        <f t="shared" ca="1" si="1"/>
        <v/>
      </c>
      <c r="W27" s="598" t="str">
        <f t="shared" ca="1" si="2"/>
        <v/>
      </c>
      <c r="X27" s="599" t="str">
        <f t="shared" ca="1" si="3"/>
        <v/>
      </c>
    </row>
    <row r="28" spans="4:24" ht="16.149999999999999" customHeight="1" thickTop="1" thickBot="1" x14ac:dyDescent="0.25">
      <c r="D28" s="119"/>
      <c r="E28" s="807" t="str">
        <f ca="1">$A$1</f>
        <v>VISITOR DAYS</v>
      </c>
      <c r="F28" s="806"/>
      <c r="G28" s="806"/>
      <c r="H28" s="806"/>
      <c r="I28" s="806"/>
      <c r="J28" s="806"/>
      <c r="K28" s="806"/>
      <c r="L28" s="806"/>
      <c r="M28" s="806"/>
      <c r="N28" s="806"/>
      <c r="O28" s="806"/>
      <c r="P28" s="806"/>
      <c r="Q28" s="806"/>
      <c r="R28" s="806"/>
      <c r="S28" s="807" t="str">
        <f>UPPER(TYPE.userselected)</f>
        <v>TOTAL</v>
      </c>
      <c r="T28" s="806"/>
      <c r="U28" s="806"/>
      <c r="V28" s="806"/>
      <c r="W28" s="806"/>
      <c r="X28" s="808"/>
    </row>
    <row r="29" spans="4:24" ht="16.149999999999999" customHeight="1" thickTop="1" thickBot="1" x14ac:dyDescent="0.25">
      <c r="D29" s="203" t="str">
        <f t="shared" ref="D29:D35" ca="1" si="6">"'"&amp;$A$1&amp;"'!"&amp;CELL("address",G29)&amp;":"&amp;CELL("address",OFFSET(G29,0,YEARSINREP-1))</f>
        <v>'VISITOR DAYS'!$G$29:$K$29</v>
      </c>
      <c r="E29" s="896" t="s">
        <v>122</v>
      </c>
      <c r="F29" s="897"/>
      <c r="G29" s="204">
        <f t="array" ref="G29:R29">TRANSPOSE(REP.yearsrange)</f>
        <v>2009</v>
      </c>
      <c r="H29" s="204">
        <v>2010</v>
      </c>
      <c r="I29" s="205">
        <v>2011</v>
      </c>
      <c r="J29" s="205">
        <v>2012</v>
      </c>
      <c r="K29" s="205">
        <v>2013</v>
      </c>
      <c r="L29" s="205">
        <v>0</v>
      </c>
      <c r="M29" s="205">
        <v>0</v>
      </c>
      <c r="N29" s="205">
        <v>0</v>
      </c>
      <c r="O29" s="205">
        <v>0</v>
      </c>
      <c r="P29" s="205">
        <v>0</v>
      </c>
      <c r="Q29" s="205">
        <v>0</v>
      </c>
      <c r="R29" s="205">
        <v>0</v>
      </c>
      <c r="S29" s="205"/>
      <c r="T29" s="206"/>
      <c r="U29" s="206"/>
      <c r="V29" s="206"/>
      <c r="W29" s="206"/>
      <c r="X29" s="206"/>
    </row>
    <row r="30" spans="4:24" ht="16.149999999999999" customHeight="1" thickTop="1" thickBot="1" x14ac:dyDescent="0.25">
      <c r="D30" s="203" t="str">
        <f t="shared" ca="1" si="6"/>
        <v>'VISITOR DAYS'!$G$30:$K$30</v>
      </c>
      <c r="E30" s="207" t="str">
        <f>IF(TYPE.userselected="SFR",TYPE.userselected,PROPER(VISTYPE.short))</f>
        <v>Total</v>
      </c>
      <c r="F30" s="201" t="str">
        <f ca="1">$F$16</f>
        <v>000s</v>
      </c>
      <c r="G30" s="594">
        <f t="array" ref="G30:R30" ca="1">TD.SHARE_VT_ANN</f>
        <v>1678.5141259630402</v>
      </c>
      <c r="H30" s="594">
        <f ca="1"/>
        <v>1735.0559745573655</v>
      </c>
      <c r="I30" s="594">
        <f ca="1"/>
        <v>1654.2781109076282</v>
      </c>
      <c r="J30" s="594">
        <f ca="1"/>
        <v>1639.9667041818218</v>
      </c>
      <c r="K30" s="594">
        <f ca="1"/>
        <v>1749.0039133046166</v>
      </c>
      <c r="L30" s="594" t="str">
        <f ca="1"/>
        <v/>
      </c>
      <c r="M30" s="594" t="str">
        <f ca="1"/>
        <v/>
      </c>
      <c r="N30" s="594" t="str">
        <f ca="1"/>
        <v/>
      </c>
      <c r="O30" s="594" t="str">
        <f ca="1"/>
        <v/>
      </c>
      <c r="P30" s="594" t="str">
        <f ca="1"/>
        <v/>
      </c>
      <c r="Q30" s="594" t="str">
        <f ca="1"/>
        <v/>
      </c>
      <c r="R30" s="594" t="str">
        <f ca="1"/>
        <v/>
      </c>
      <c r="S30" s="208"/>
      <c r="T30" s="206"/>
      <c r="U30" s="206"/>
      <c r="V30" s="206"/>
      <c r="W30" s="206"/>
      <c r="X30" s="206"/>
    </row>
    <row r="31" spans="4:24" ht="16.149999999999999" customHeight="1" thickTop="1" thickBot="1" x14ac:dyDescent="0.25">
      <c r="D31" s="203" t="str">
        <f t="shared" ca="1" si="6"/>
        <v>'VISITOR DAYS'!$G$31:$K$31</v>
      </c>
      <c r="E31" s="207" t="s">
        <v>98</v>
      </c>
      <c r="F31" s="201" t="str">
        <f>IF($A$4=1,"000s",IF(A4=1000,"M","Bn"))</f>
        <v>M</v>
      </c>
      <c r="G31" s="595">
        <f t="array" aca="1" ref="G31:R31" ca="1">TD.SHARE_TOTAL_ANN</f>
        <v>1.6785141259630403</v>
      </c>
      <c r="H31" s="595">
        <f ca="1"/>
        <v>1.7350559745573655</v>
      </c>
      <c r="I31" s="595">
        <f ca="1"/>
        <v>1.6542781109076281</v>
      </c>
      <c r="J31" s="595">
        <f ca="1"/>
        <v>1.6399667041818218</v>
      </c>
      <c r="K31" s="595">
        <f ca="1"/>
        <v>1.7490039133046167</v>
      </c>
      <c r="L31" s="595" t="str">
        <f ca="1"/>
        <v/>
      </c>
      <c r="M31" s="595" t="str">
        <f ca="1"/>
        <v/>
      </c>
      <c r="N31" s="595" t="str">
        <f ca="1"/>
        <v/>
      </c>
      <c r="O31" s="595" t="str">
        <f ca="1"/>
        <v/>
      </c>
      <c r="P31" s="595" t="str">
        <f ca="1"/>
        <v/>
      </c>
      <c r="Q31" s="595" t="str">
        <f ca="1"/>
        <v/>
      </c>
      <c r="R31" s="595" t="str">
        <f ca="1"/>
        <v/>
      </c>
      <c r="S31" s="209"/>
      <c r="T31" s="206"/>
      <c r="U31" s="206"/>
      <c r="V31" s="206"/>
      <c r="W31" s="206"/>
      <c r="X31" s="206"/>
    </row>
    <row r="32" spans="4:24" ht="16.149999999999999" customHeight="1" thickTop="1" thickBot="1" x14ac:dyDescent="0.25">
      <c r="D32" s="203" t="str">
        <f t="shared" ca="1" si="6"/>
        <v>'VISITOR DAYS'!$G$32:$K$32</v>
      </c>
      <c r="E32" s="207" t="s">
        <v>123</v>
      </c>
      <c r="F32" s="201" t="s">
        <v>119</v>
      </c>
      <c r="G32" s="142">
        <f t="array" ref="G32:R32" ca="1">IFERROR((TD.SHARE_VT_ANN*$A$2)/(TD.SHARE_TOTAL_ANN*$A$4),"")</f>
        <v>1</v>
      </c>
      <c r="H32" s="142">
        <f ca="1"/>
        <v>1</v>
      </c>
      <c r="I32" s="142">
        <f ca="1"/>
        <v>1</v>
      </c>
      <c r="J32" s="142">
        <f ca="1"/>
        <v>1</v>
      </c>
      <c r="K32" s="142">
        <f ca="1"/>
        <v>1</v>
      </c>
      <c r="L32" s="142" t="str">
        <f ca="1"/>
        <v/>
      </c>
      <c r="M32" s="142" t="str">
        <f ca="1"/>
        <v/>
      </c>
      <c r="N32" s="142" t="str">
        <f ca="1"/>
        <v/>
      </c>
      <c r="O32" s="142" t="str">
        <f ca="1"/>
        <v/>
      </c>
      <c r="P32" s="142" t="str">
        <f ca="1"/>
        <v/>
      </c>
      <c r="Q32" s="142" t="str">
        <f ca="1"/>
        <v/>
      </c>
      <c r="R32" s="142" t="str">
        <f ca="1"/>
        <v/>
      </c>
      <c r="S32" s="142"/>
      <c r="T32" s="206"/>
      <c r="U32" s="206"/>
      <c r="V32" s="206"/>
      <c r="W32" s="206"/>
      <c r="X32" s="206"/>
    </row>
    <row r="33" spans="4:24" ht="16.149999999999999" customHeight="1" thickTop="1" thickBot="1" x14ac:dyDescent="0.25">
      <c r="D33" s="203" t="str">
        <f t="shared" ca="1" si="6"/>
        <v>'VISITOR DAYS'!$G$33:$K$33</v>
      </c>
      <c r="E33" s="207" t="s">
        <v>124</v>
      </c>
      <c r="F33" s="201" t="s">
        <v>119</v>
      </c>
      <c r="G33" s="202">
        <f ca="1">G32/G32-1</f>
        <v>0</v>
      </c>
      <c r="H33" s="142">
        <f ca="1">IFERROR(H32/G32-1,"")</f>
        <v>0</v>
      </c>
      <c r="I33" s="142">
        <f t="shared" ref="I33:R33" ca="1" si="7">IFERROR(I32/H32-1,"")</f>
        <v>0</v>
      </c>
      <c r="J33" s="142">
        <f t="shared" ca="1" si="7"/>
        <v>0</v>
      </c>
      <c r="K33" s="142">
        <f t="shared" ca="1" si="7"/>
        <v>0</v>
      </c>
      <c r="L33" s="142" t="str">
        <f t="shared" ca="1" si="7"/>
        <v/>
      </c>
      <c r="M33" s="142" t="str">
        <f t="shared" ca="1" si="7"/>
        <v/>
      </c>
      <c r="N33" s="142" t="str">
        <f t="shared" ca="1" si="7"/>
        <v/>
      </c>
      <c r="O33" s="142" t="str">
        <f t="shared" ca="1" si="7"/>
        <v/>
      </c>
      <c r="P33" s="142" t="str">
        <f t="shared" ca="1" si="7"/>
        <v/>
      </c>
      <c r="Q33" s="142" t="str">
        <f t="shared" ca="1" si="7"/>
        <v/>
      </c>
      <c r="R33" s="142" t="str">
        <f t="shared" ca="1" si="7"/>
        <v/>
      </c>
      <c r="S33" s="142"/>
      <c r="T33" s="206"/>
      <c r="U33" s="206"/>
      <c r="V33" s="206"/>
      <c r="W33" s="206"/>
      <c r="X33" s="206"/>
    </row>
    <row r="34" spans="4:24" ht="16.149999999999999" customHeight="1" thickTop="1" thickBot="1" x14ac:dyDescent="0.25">
      <c r="D34" s="203" t="str">
        <f t="shared" ca="1" si="6"/>
        <v>'VISITOR DAYS'!$G$34:$K$34</v>
      </c>
      <c r="E34" s="207" t="str">
        <f>"Change in Share from "&amp;MIN(REP.yearsrange)</f>
        <v>Change in Share from 2009</v>
      </c>
      <c r="F34" s="201" t="s">
        <v>119</v>
      </c>
      <c r="G34" s="202">
        <f ca="1">G32/$G$32-1</f>
        <v>0</v>
      </c>
      <c r="H34" s="142">
        <f t="shared" ref="H34:R34" ca="1" si="8">IFERROR(H32/$G$32-1,"")</f>
        <v>0</v>
      </c>
      <c r="I34" s="142">
        <f t="shared" ca="1" si="8"/>
        <v>0</v>
      </c>
      <c r="J34" s="142">
        <f t="shared" ca="1" si="8"/>
        <v>0</v>
      </c>
      <c r="K34" s="142">
        <f t="shared" ca="1" si="8"/>
        <v>0</v>
      </c>
      <c r="L34" s="142" t="str">
        <f t="shared" ca="1" si="8"/>
        <v/>
      </c>
      <c r="M34" s="142" t="str">
        <f t="shared" ca="1" si="8"/>
        <v/>
      </c>
      <c r="N34" s="142" t="str">
        <f t="shared" ca="1" si="8"/>
        <v/>
      </c>
      <c r="O34" s="142" t="str">
        <f t="shared" ca="1" si="8"/>
        <v/>
      </c>
      <c r="P34" s="142" t="str">
        <f t="shared" ca="1" si="8"/>
        <v/>
      </c>
      <c r="Q34" s="142" t="str">
        <f t="shared" ca="1" si="8"/>
        <v/>
      </c>
      <c r="R34" s="142" t="str">
        <f t="shared" ca="1" si="8"/>
        <v/>
      </c>
      <c r="S34" s="142"/>
      <c r="T34" s="206"/>
      <c r="U34" s="206"/>
      <c r="V34" s="206"/>
      <c r="W34" s="206"/>
      <c r="X34" s="206"/>
    </row>
    <row r="35" spans="4:24" ht="16.149999999999999" customHeight="1" thickTop="1" thickBot="1" x14ac:dyDescent="0.25">
      <c r="D35" s="203" t="str">
        <f t="shared" ca="1" si="6"/>
        <v>'VISITOR DAYS'!$G$35:$K$35</v>
      </c>
      <c r="E35" s="207" t="s">
        <v>149</v>
      </c>
      <c r="F35" s="201" t="s">
        <v>119</v>
      </c>
      <c r="G35" s="202" t="str">
        <f ca="1">IFERROR(G34/(COUNT($G29:G29)-1),"")</f>
        <v/>
      </c>
      <c r="H35" s="142">
        <f ca="1">IFERROR(H34/(COUNT($G29:H29)-1),"")</f>
        <v>0</v>
      </c>
      <c r="I35" s="142">
        <f ca="1">IFERROR(I34/(COUNT($G29:I29)-1),"")</f>
        <v>0</v>
      </c>
      <c r="J35" s="142">
        <f ca="1">IFERROR(J34/(COUNT($G29:J29)-1),"")</f>
        <v>0</v>
      </c>
      <c r="K35" s="142">
        <f ca="1">IFERROR(K34/(COUNT($G29:K29)-1),"")</f>
        <v>0</v>
      </c>
      <c r="L35" s="142" t="str">
        <f ca="1">IFERROR(L34/(COUNT($G29:L29)-1),"")</f>
        <v/>
      </c>
      <c r="M35" s="142" t="str">
        <f ca="1">IFERROR(M34/(COUNT($G29:M29)-1),"")</f>
        <v/>
      </c>
      <c r="N35" s="142" t="str">
        <f ca="1">IFERROR(N34/(COUNT($G29:N29)-1),"")</f>
        <v/>
      </c>
      <c r="O35" s="142" t="str">
        <f ca="1">IFERROR(O34/(COUNT($G29:O29)-1),"")</f>
        <v/>
      </c>
      <c r="P35" s="142" t="str">
        <f ca="1">IFERROR(P34/(COUNT($G29:P29)-1),"")</f>
        <v/>
      </c>
      <c r="Q35" s="142" t="str">
        <f ca="1">IFERROR(Q34/(COUNT($G29:Q29)-1),"")</f>
        <v/>
      </c>
      <c r="R35" s="142" t="str">
        <f ca="1">IFERROR(R34/(COUNT($G29:R29)-1),"")</f>
        <v/>
      </c>
      <c r="S35" s="142"/>
      <c r="T35" s="206"/>
      <c r="U35" s="206"/>
      <c r="V35" s="206"/>
      <c r="W35" s="206"/>
      <c r="X35" s="206"/>
    </row>
    <row r="36" spans="4:24" ht="16.149999999999999" customHeight="1" thickTop="1" thickBot="1" x14ac:dyDescent="0.25">
      <c r="D36" s="203"/>
      <c r="E36" s="670"/>
      <c r="F36" s="274"/>
      <c r="G36" s="202"/>
      <c r="H36" s="142"/>
      <c r="I36" s="142"/>
      <c r="J36" s="142"/>
      <c r="K36" s="142"/>
      <c r="L36" s="142"/>
      <c r="M36" s="142"/>
      <c r="N36" s="142"/>
      <c r="O36" s="142"/>
      <c r="P36" s="142"/>
      <c r="Q36" s="142"/>
      <c r="R36" s="142"/>
      <c r="S36" s="142"/>
      <c r="T36" s="206"/>
      <c r="U36" s="206"/>
      <c r="V36" s="206"/>
      <c r="W36" s="206"/>
      <c r="X36" s="206"/>
    </row>
    <row r="37" spans="4:24" ht="16.149999999999999" customHeight="1" thickTop="1" thickBot="1" x14ac:dyDescent="0.25">
      <c r="D37" s="119"/>
      <c r="E37" s="210"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136"/>
      <c r="G37" s="136"/>
      <c r="H37" s="136"/>
      <c r="I37" s="136"/>
      <c r="J37" s="136"/>
      <c r="K37" s="136"/>
      <c r="L37" s="136"/>
      <c r="M37" s="136"/>
      <c r="N37" s="136"/>
      <c r="O37" s="136"/>
      <c r="P37" s="136"/>
      <c r="Q37" s="136"/>
      <c r="R37" s="136"/>
      <c r="S37" s="206"/>
      <c r="T37" s="206"/>
      <c r="U37" s="206"/>
      <c r="V37" s="206"/>
      <c r="W37" s="206"/>
      <c r="X37" s="206"/>
    </row>
    <row r="38" spans="4:24" s="48"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83"/>
      <c r="H40" s="83"/>
      <c r="I40" s="83"/>
      <c r="J40" s="83"/>
      <c r="K40" s="83"/>
      <c r="L40" s="83"/>
      <c r="M40" s="83"/>
      <c r="N40" s="83"/>
      <c r="O40" s="83"/>
      <c r="P40" s="83"/>
      <c r="Q40" s="83"/>
      <c r="R40" s="83"/>
      <c r="S40" s="83"/>
      <c r="T40" s="83"/>
      <c r="U40" s="83"/>
      <c r="V40" s="83"/>
    </row>
    <row r="41" spans="4:24" ht="16.149999999999999" customHeight="1" x14ac:dyDescent="0.2">
      <c r="G41" s="83"/>
      <c r="H41" s="83"/>
      <c r="I41" s="83"/>
      <c r="J41" s="83"/>
      <c r="K41" s="83"/>
      <c r="L41" s="83"/>
      <c r="M41" s="83"/>
      <c r="N41" s="83"/>
      <c r="O41" s="83"/>
      <c r="P41" s="83"/>
      <c r="Q41" s="83"/>
      <c r="R41" s="83"/>
      <c r="S41" s="83"/>
      <c r="T41" s="83"/>
      <c r="U41" s="83"/>
      <c r="V41" s="83"/>
    </row>
    <row r="70" spans="7:23" ht="16.149999999999999" customHeight="1" x14ac:dyDescent="0.2">
      <c r="G70" s="45" t="s">
        <v>44</v>
      </c>
      <c r="H70" s="45" t="s">
        <v>44</v>
      </c>
      <c r="J70" s="45" t="s">
        <v>49</v>
      </c>
      <c r="K70" s="45" t="s">
        <v>49</v>
      </c>
      <c r="M70" s="45" t="s">
        <v>19</v>
      </c>
      <c r="N70" s="45" t="s">
        <v>19</v>
      </c>
      <c r="P70" s="45" t="s">
        <v>97</v>
      </c>
      <c r="S70" s="45" t="s">
        <v>73</v>
      </c>
      <c r="T70" s="45" t="s">
        <v>73</v>
      </c>
      <c r="V70" s="45" t="s">
        <v>55</v>
      </c>
      <c r="W70" s="45" t="s">
        <v>55</v>
      </c>
    </row>
  </sheetData>
  <sheetProtection algorithmName="SHA-512" hashValue="5YxMV28yToo/abJ9IqFscse69toI7kDN9CCjwYETsUoxlakkz1AMJ9FAwx5zMzVQG4gcha785in7uXd8zypPUA==" saltValue="YbAVUFSh35KRKEQL/NYTnQ==" spinCount="100000" sheet="1" objects="1" scenarios="1"/>
  <mergeCells count="26">
    <mergeCell ref="E29:F29"/>
    <mergeCell ref="E10:F10"/>
    <mergeCell ref="G10:R10"/>
    <mergeCell ref="S10:S12"/>
    <mergeCell ref="T10:T12"/>
    <mergeCell ref="E11:F11"/>
    <mergeCell ref="G11:I11"/>
    <mergeCell ref="J11:L11"/>
    <mergeCell ref="M11:O11"/>
    <mergeCell ref="P11:R11"/>
    <mergeCell ref="E12:F12"/>
    <mergeCell ref="E28:R28"/>
    <mergeCell ref="S28:X28"/>
    <mergeCell ref="S6:T7"/>
    <mergeCell ref="U6:X7"/>
    <mergeCell ref="E13:F13"/>
    <mergeCell ref="T13:T16"/>
    <mergeCell ref="E14:F14"/>
    <mergeCell ref="E15:F15"/>
    <mergeCell ref="E8:F8"/>
    <mergeCell ref="G8:R8"/>
    <mergeCell ref="S8:T9"/>
    <mergeCell ref="P6:R7"/>
    <mergeCell ref="U8:X11"/>
    <mergeCell ref="E9:F9"/>
    <mergeCell ref="G9:R9"/>
  </mergeCells>
  <conditionalFormatting sqref="I29:Q29">
    <cfRule type="expression" dxfId="96" priority="50">
      <formula>I29=0</formula>
    </cfRule>
  </conditionalFormatting>
  <conditionalFormatting sqref="G33:Q34">
    <cfRule type="cellIs" dxfId="95" priority="48" operator="lessThanOrEqual">
      <formula>-REP.percenthighlight</formula>
    </cfRule>
    <cfRule type="cellIs" dxfId="94" priority="49" operator="greaterThanOrEqual">
      <formula>REP.percenthighlight</formula>
    </cfRule>
  </conditionalFormatting>
  <conditionalFormatting sqref="H35:Q36 G30:Q34">
    <cfRule type="expression" dxfId="93" priority="45" stopIfTrue="1">
      <formula>G$29=0</formula>
    </cfRule>
  </conditionalFormatting>
  <conditionalFormatting sqref="H35:Q36">
    <cfRule type="cellIs" dxfId="92" priority="46" operator="lessThanOrEqual">
      <formula>-REP.percenthighlight</formula>
    </cfRule>
    <cfRule type="cellIs" dxfId="91" priority="47" operator="greaterThanOrEqual">
      <formula>REP.percenthighlight</formula>
    </cfRule>
  </conditionalFormatting>
  <conditionalFormatting sqref="F30:F36">
    <cfRule type="expression" dxfId="90" priority="44">
      <formula>$E30=0</formula>
    </cfRule>
  </conditionalFormatting>
  <conditionalFormatting sqref="R29:S29">
    <cfRule type="expression" dxfId="89" priority="42">
      <formula>R29=0</formula>
    </cfRule>
  </conditionalFormatting>
  <conditionalFormatting sqref="R33:S34">
    <cfRule type="cellIs" dxfId="88" priority="40" operator="lessThanOrEqual">
      <formula>-REP.percenthighlight</formula>
    </cfRule>
    <cfRule type="cellIs" dxfId="87" priority="41" operator="greaterThanOrEqual">
      <formula>REP.percenthighlight</formula>
    </cfRule>
  </conditionalFormatting>
  <conditionalFormatting sqref="R30:S36">
    <cfRule type="expression" dxfId="86" priority="37" stopIfTrue="1">
      <formula>R$29=0</formula>
    </cfRule>
  </conditionalFormatting>
  <conditionalFormatting sqref="R35:S36">
    <cfRule type="cellIs" dxfId="85" priority="38" operator="lessThanOrEqual">
      <formula>-REP.percenthighlight</formula>
    </cfRule>
    <cfRule type="cellIs" dxfId="84" priority="39" operator="greaterThanOrEqual">
      <formula>REP.percenthighlight</formula>
    </cfRule>
  </conditionalFormatting>
  <conditionalFormatting sqref="T17:T18">
    <cfRule type="cellIs" dxfId="83" priority="32" operator="greaterThanOrEqual">
      <formula>REP.percenthighlight</formula>
    </cfRule>
    <cfRule type="cellIs" dxfId="82" priority="33" operator="lessThanOrEqual">
      <formula>-REP.percenthighlight</formula>
    </cfRule>
  </conditionalFormatting>
  <conditionalFormatting sqref="G13:S15">
    <cfRule type="cellIs" dxfId="81" priority="30" operator="lessThanOrEqual">
      <formula>-REP.percenthighlight</formula>
    </cfRule>
    <cfRule type="cellIs" dxfId="80" priority="31" operator="greaterThanOrEqual">
      <formula>REP.percenthighlight</formula>
    </cfRule>
  </conditionalFormatting>
  <conditionalFormatting sqref="U13:X15">
    <cfRule type="cellIs" dxfId="79" priority="28" operator="lessThanOrEqual">
      <formula>-REP.percenthighlight</formula>
    </cfRule>
    <cfRule type="cellIs" dxfId="78" priority="29" operator="greaterThanOrEqual">
      <formula>REP.percenthighlight</formula>
    </cfRule>
  </conditionalFormatting>
  <conditionalFormatting sqref="E17:X18 E16 G16:X16">
    <cfRule type="expression" dxfId="77" priority="23">
      <formula>$E16=0</formula>
    </cfRule>
  </conditionalFormatting>
  <conditionalFormatting sqref="T19:T27">
    <cfRule type="cellIs" dxfId="76" priority="24" operator="greaterThanOrEqual">
      <formula>REP.percenthighlight</formula>
    </cfRule>
    <cfRule type="cellIs" dxfId="75" priority="25" operator="lessThanOrEqual">
      <formula>-REP.percenthighlight</formula>
    </cfRule>
  </conditionalFormatting>
  <conditionalFormatting sqref="E19:X27">
    <cfRule type="expression" dxfId="74" priority="2">
      <formula>$E19=0</formula>
    </cfRule>
  </conditionalFormatting>
  <conditionalFormatting sqref="S6:T7">
    <cfRule type="expression" dxfId="73" priority="16">
      <formula>TYPE.no=6</formula>
    </cfRule>
    <cfRule type="expression" dxfId="72" priority="17">
      <formula>TYPE.no=5</formula>
    </cfRule>
    <cfRule type="expression" dxfId="71" priority="18">
      <formula>TYPE.no=4</formula>
    </cfRule>
    <cfRule type="expression" dxfId="70" priority="19">
      <formula>TYPE.no=3</formula>
    </cfRule>
    <cfRule type="expression" dxfId="69" priority="20">
      <formula>TYPE.no=2</formula>
    </cfRule>
    <cfRule type="expression" dxfId="68" priority="21">
      <formula>TYPE.no=1</formula>
    </cfRule>
  </conditionalFormatting>
  <conditionalFormatting sqref="G9:R9">
    <cfRule type="expression" dxfId="67" priority="10">
      <formula>TYPE.no=6</formula>
    </cfRule>
    <cfRule type="expression" dxfId="66" priority="11">
      <formula>TYPE.no=5</formula>
    </cfRule>
    <cfRule type="expression" dxfId="65" priority="12">
      <formula>TYPE.no=4</formula>
    </cfRule>
    <cfRule type="expression" dxfId="64" priority="13">
      <formula>TYPE.no=3</formula>
    </cfRule>
    <cfRule type="expression" dxfId="63" priority="14">
      <formula>TYPE.no=2</formula>
    </cfRule>
    <cfRule type="expression" dxfId="62" priority="15">
      <formula>TYPE.no=1</formula>
    </cfRule>
  </conditionalFormatting>
  <conditionalFormatting sqref="S28:X28">
    <cfRule type="expression" dxfId="61" priority="4">
      <formula>TYPE.no=6</formula>
    </cfRule>
    <cfRule type="expression" dxfId="60" priority="5">
      <formula>TYPE.no=5</formula>
    </cfRule>
    <cfRule type="expression" dxfId="59" priority="6">
      <formula>TYPE.no=4</formula>
    </cfRule>
    <cfRule type="expression" dxfId="58" priority="7">
      <formula>TYPE.no=3</formula>
    </cfRule>
    <cfRule type="expression" dxfId="57" priority="8">
      <formula>TYPE.no=2</formula>
    </cfRule>
    <cfRule type="expression" dxfId="56" priority="9">
      <formula>TYPE.no=1</formula>
    </cfRule>
  </conditionalFormatting>
  <conditionalFormatting sqref="F16">
    <cfRule type="expression" dxfId="55" priority="3">
      <formula>$E16=0</formula>
    </cfRule>
  </conditionalFormatting>
  <conditionalFormatting sqref="G16:S27 U16:X27 G30:R31">
    <cfRule type="expression" dxfId="54" priority="1">
      <formula>$A$2=1</formula>
    </cfRule>
    <cfRule type="expression" dxfId="53" priority="27">
      <formula>AND($A$2&gt;1,G16&lt;10)</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7764" r:id="rId4" name="Drop Down 4">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17766" r:id="rId5" name="Drop Down 6">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6">
    <tabColor theme="9" tint="0.39997558519241921"/>
    <outlinePr showOutlineSymbols="0"/>
    <pageSetUpPr autoPageBreaks="0" fitToPage="1"/>
  </sheetPr>
  <dimension ref="A1:AA70"/>
  <sheetViews>
    <sheetView showGridLines="0" showRowColHeaders="0" showZeros="0" showOutlineSymbols="0" topLeftCell="A2" zoomScaleNormal="100" workbookViewId="0">
      <pane ySplit="6" topLeftCell="A8" activePane="bottomLeft" state="frozen"/>
      <selection activeCell="S29" sqref="S29"/>
      <selection pane="bottomLeft" activeCell="E6" sqref="E6"/>
    </sheetView>
  </sheetViews>
  <sheetFormatPr defaultColWidth="4.85546875" defaultRowHeight="16.149999999999999" customHeight="1" x14ac:dyDescent="0.2"/>
  <cols>
    <col min="1" max="3" width="4.85546875" style="45"/>
    <col min="4" max="4" width="4.85546875" style="46"/>
    <col min="5" max="5" width="19.5703125" style="45" customWidth="1"/>
    <col min="6" max="6" width="5.140625" style="45" customWidth="1"/>
    <col min="7" max="24" width="7.28515625" style="45" customWidth="1"/>
    <col min="25" max="25" width="4.85546875" style="45"/>
    <col min="26" max="26" width="8.42578125" style="45" bestFit="1" customWidth="1"/>
    <col min="27" max="27" width="7.7109375" style="45" bestFit="1" customWidth="1"/>
    <col min="28" max="16384" width="4.85546875" style="45"/>
  </cols>
  <sheetData>
    <row r="1" spans="1:27" ht="16.149999999999999" hidden="1" customHeight="1" x14ac:dyDescent="0.2">
      <c r="A1" s="43" t="str">
        <f ca="1">MID(CELL("filename",A1),FIND("]",CELL("filename",A1))+1,255)</f>
        <v>EMPLOYMENT</v>
      </c>
      <c r="E1" s="59"/>
      <c r="F1" s="60"/>
      <c r="G1" s="60"/>
      <c r="H1" s="60"/>
      <c r="I1" s="60"/>
      <c r="J1" s="60"/>
      <c r="K1" s="60"/>
      <c r="L1" s="60"/>
      <c r="M1" s="60"/>
      <c r="N1" s="60"/>
      <c r="O1" s="60"/>
      <c r="P1" s="60"/>
      <c r="Q1" s="60"/>
      <c r="R1" s="60"/>
      <c r="S1" s="60"/>
      <c r="T1" s="60"/>
      <c r="U1" s="60"/>
      <c r="V1" s="60"/>
      <c r="W1" s="60"/>
      <c r="X1" s="61"/>
    </row>
    <row r="2" spans="1:27" ht="16.149999999999999" customHeight="1" thickTop="1" x14ac:dyDescent="0.2">
      <c r="A2" s="625"/>
      <c r="B2" s="625"/>
      <c r="C2" s="625"/>
      <c r="D2" s="629"/>
      <c r="E2" s="50"/>
      <c r="F2" s="51"/>
      <c r="G2" s="51"/>
      <c r="H2" s="51"/>
      <c r="I2" s="51"/>
      <c r="J2" s="51"/>
      <c r="K2" s="51"/>
      <c r="L2" s="51"/>
      <c r="M2" s="51"/>
      <c r="N2" s="51"/>
      <c r="O2" s="51"/>
      <c r="P2" s="51"/>
      <c r="Q2" s="51"/>
      <c r="R2" s="51"/>
      <c r="S2" s="51"/>
      <c r="T2" s="51"/>
      <c r="U2" s="51"/>
      <c r="V2" s="51"/>
      <c r="W2" s="51"/>
      <c r="X2" s="52"/>
    </row>
    <row r="3" spans="1:27" ht="26.45" customHeight="1" x14ac:dyDescent="0.2">
      <c r="A3" s="625"/>
      <c r="B3" s="625"/>
      <c r="C3" s="625"/>
      <c r="D3" s="629"/>
      <c r="E3" s="53"/>
      <c r="F3" s="49"/>
      <c r="G3" s="49"/>
      <c r="H3" s="49"/>
      <c r="I3" s="49"/>
      <c r="J3" s="49"/>
      <c r="K3" s="49"/>
      <c r="L3" s="49"/>
      <c r="M3" s="49"/>
      <c r="N3" s="49"/>
      <c r="O3" s="49"/>
      <c r="P3" s="49"/>
      <c r="Q3" s="49"/>
      <c r="R3" s="49"/>
      <c r="S3" s="49"/>
      <c r="T3" s="49"/>
      <c r="U3" s="49"/>
      <c r="V3" s="49"/>
      <c r="W3" s="49"/>
      <c r="X3" s="54"/>
    </row>
    <row r="4" spans="1:27" ht="26.45" customHeight="1" x14ac:dyDescent="0.2">
      <c r="A4" s="625"/>
      <c r="B4" s="625"/>
      <c r="C4" s="625"/>
      <c r="D4" s="629"/>
      <c r="E4" s="64"/>
      <c r="F4" s="65"/>
      <c r="G4" s="65"/>
      <c r="H4" s="65"/>
      <c r="I4" s="65"/>
      <c r="J4" s="65"/>
      <c r="K4" s="65"/>
      <c r="L4" s="65"/>
      <c r="M4" s="65"/>
      <c r="N4" s="65"/>
      <c r="O4" s="65"/>
      <c r="P4" s="65"/>
      <c r="Q4" s="65"/>
      <c r="R4" s="65"/>
      <c r="S4" s="65"/>
      <c r="T4" s="65"/>
      <c r="U4" s="65"/>
      <c r="V4" s="65"/>
      <c r="W4" s="65"/>
      <c r="X4" s="66"/>
    </row>
    <row r="5" spans="1:27" ht="26.45" customHeight="1" thickBot="1" x14ac:dyDescent="0.25">
      <c r="A5" s="625"/>
      <c r="B5" s="625"/>
      <c r="C5" s="625"/>
      <c r="D5" s="629"/>
      <c r="E5" s="56"/>
      <c r="F5" s="57"/>
      <c r="G5" s="57"/>
      <c r="H5" s="57"/>
      <c r="I5" s="57"/>
      <c r="J5" s="57"/>
      <c r="K5" s="57"/>
      <c r="L5" s="57"/>
      <c r="M5" s="57"/>
      <c r="N5" s="57"/>
      <c r="O5" s="57"/>
      <c r="P5" s="57"/>
      <c r="Q5" s="57"/>
      <c r="R5" s="57"/>
      <c r="S5" s="57"/>
      <c r="T5" s="57"/>
      <c r="U5" s="57"/>
      <c r="V5" s="57"/>
      <c r="W5" s="57"/>
      <c r="X5" s="58"/>
    </row>
    <row r="6" spans="1:27" ht="16.149999999999999" customHeight="1" thickTop="1" x14ac:dyDescent="0.2">
      <c r="E6" s="406" t="str">
        <f>REP.title1</f>
        <v>STEAM FINAL TREND REPORT FOR 2009-2013</v>
      </c>
      <c r="F6" s="407"/>
      <c r="G6" s="407"/>
      <c r="H6" s="407"/>
      <c r="I6" s="407"/>
      <c r="J6" s="407"/>
      <c r="K6" s="407"/>
      <c r="L6" s="407"/>
      <c r="M6" s="407"/>
      <c r="N6" s="407"/>
      <c r="O6" s="408"/>
      <c r="P6" s="1031" t="str">
        <f>MIN(REP.yearsrange)&amp;" to "&amp;MAX(REP.yearsrange)</f>
        <v>2009 to 2013</v>
      </c>
      <c r="Q6" s="1032"/>
      <c r="R6" s="1033"/>
      <c r="S6" s="869" t="str">
        <f>UPPER(VISTYPE.short)</f>
        <v>TOTAL</v>
      </c>
      <c r="T6" s="870"/>
      <c r="U6" s="1010" t="str">
        <f ca="1">IF(TYPE.no=1,"TOTAL "&amp;$A$1,"DIRECT "&amp;$A$1)</f>
        <v>TOTAL EMPLOYMENT</v>
      </c>
      <c r="V6" s="1011"/>
      <c r="W6" s="1011"/>
      <c r="X6" s="1012"/>
    </row>
    <row r="7" spans="1:27" ht="16.149999999999999" customHeight="1" thickBot="1" x14ac:dyDescent="0.25">
      <c r="E7" s="409" t="str">
        <f>REP.title2</f>
        <v>MORAY HIE</v>
      </c>
      <c r="F7" s="410"/>
      <c r="G7" s="410"/>
      <c r="H7" s="410"/>
      <c r="I7" s="411"/>
      <c r="J7" s="411"/>
      <c r="K7" s="411"/>
      <c r="L7" s="411"/>
      <c r="M7" s="411"/>
      <c r="N7" s="411"/>
      <c r="O7" s="412"/>
      <c r="P7" s="1034"/>
      <c r="Q7" s="1035"/>
      <c r="R7" s="1036"/>
      <c r="S7" s="871"/>
      <c r="T7" s="872"/>
      <c r="U7" s="1013"/>
      <c r="V7" s="1014"/>
      <c r="W7" s="1014"/>
      <c r="X7" s="1015"/>
    </row>
    <row r="8" spans="1:27" ht="16.149999999999999" customHeight="1" thickTop="1" thickBot="1" x14ac:dyDescent="0.25">
      <c r="E8" s="986" t="str">
        <f ca="1">$A$1&amp;" BY:"</f>
        <v>EMPLOYMENT BY:</v>
      </c>
      <c r="F8" s="988"/>
      <c r="G8" s="986" t="s">
        <v>134</v>
      </c>
      <c r="H8" s="987"/>
      <c r="I8" s="987"/>
      <c r="J8" s="987"/>
      <c r="K8" s="987"/>
      <c r="L8" s="987"/>
      <c r="M8" s="987"/>
      <c r="N8" s="987"/>
      <c r="O8" s="987"/>
      <c r="P8" s="987"/>
      <c r="Q8" s="987"/>
      <c r="R8" s="987"/>
      <c r="S8" s="1016" t="s">
        <v>125</v>
      </c>
      <c r="T8" s="1017"/>
      <c r="U8" s="1020" t="s">
        <v>126</v>
      </c>
      <c r="V8" s="1021"/>
      <c r="W8" s="1021"/>
      <c r="X8" s="1022"/>
    </row>
    <row r="9" spans="1:27" s="41" customFormat="1" ht="16.149999999999999" customHeight="1" thickTop="1" thickBot="1" x14ac:dyDescent="0.25">
      <c r="E9" s="1029" t="s">
        <v>92</v>
      </c>
      <c r="F9" s="1030"/>
      <c r="G9" s="938" t="str">
        <f>UPPER(TYPE.userselected)</f>
        <v>TOTAL</v>
      </c>
      <c r="H9" s="938"/>
      <c r="I9" s="938"/>
      <c r="J9" s="938"/>
      <c r="K9" s="938"/>
      <c r="L9" s="938"/>
      <c r="M9" s="938"/>
      <c r="N9" s="938"/>
      <c r="O9" s="938"/>
      <c r="P9" s="938"/>
      <c r="Q9" s="938"/>
      <c r="R9" s="939"/>
      <c r="S9" s="1018"/>
      <c r="T9" s="1019"/>
      <c r="U9" s="1023"/>
      <c r="V9" s="1024"/>
      <c r="W9" s="1024"/>
      <c r="X9" s="1025"/>
    </row>
    <row r="10" spans="1:27" s="41" customFormat="1" ht="16.149999999999999" customHeight="1" thickTop="1" thickBot="1" x14ac:dyDescent="0.25">
      <c r="E10" s="984" t="str">
        <f>REP.highlightup</f>
        <v>An increase of 3% or more</v>
      </c>
      <c r="F10" s="985"/>
      <c r="G10" s="986" t="str">
        <f ca="1">U6&amp;" IN FULL TIME EQUIVALENTS (FTEs) / PERCENTAGE CHANGES"</f>
        <v>TOTAL EMPLOYMENT IN FULL TIME EQUIVALENTS (FTEs) / PERCENTAGE CHANGES</v>
      </c>
      <c r="H10" s="987"/>
      <c r="I10" s="987"/>
      <c r="J10" s="987"/>
      <c r="K10" s="987"/>
      <c r="L10" s="987"/>
      <c r="M10" s="987"/>
      <c r="N10" s="987"/>
      <c r="O10" s="987"/>
      <c r="P10" s="987"/>
      <c r="Q10" s="987"/>
      <c r="R10" s="988"/>
      <c r="S10" s="989" t="s">
        <v>39</v>
      </c>
      <c r="T10" s="989" t="s">
        <v>120</v>
      </c>
      <c r="U10" s="1023"/>
      <c r="V10" s="1024"/>
      <c r="W10" s="1024"/>
      <c r="X10" s="1025"/>
    </row>
    <row r="11" spans="1:27" s="41" customFormat="1" ht="16.149999999999999" customHeight="1" thickTop="1" thickBot="1" x14ac:dyDescent="0.25">
      <c r="E11" s="992" t="str">
        <f>REP.highlightsame</f>
        <v>Less than 3% change</v>
      </c>
      <c r="F11" s="993"/>
      <c r="G11" s="994" t="s">
        <v>93</v>
      </c>
      <c r="H11" s="995"/>
      <c r="I11" s="996"/>
      <c r="J11" s="997" t="s">
        <v>94</v>
      </c>
      <c r="K11" s="998"/>
      <c r="L11" s="999"/>
      <c r="M11" s="1000" t="s">
        <v>95</v>
      </c>
      <c r="N11" s="1001"/>
      <c r="O11" s="1002"/>
      <c r="P11" s="1003" t="s">
        <v>96</v>
      </c>
      <c r="Q11" s="1004"/>
      <c r="R11" s="1005"/>
      <c r="S11" s="990"/>
      <c r="T11" s="990"/>
      <c r="U11" s="1026"/>
      <c r="V11" s="1027"/>
      <c r="W11" s="1027"/>
      <c r="X11" s="1028"/>
    </row>
    <row r="12" spans="1:27" ht="16.149999999999999" customHeight="1" thickTop="1" thickBot="1" x14ac:dyDescent="0.25">
      <c r="E12" s="1006" t="str">
        <f>REP.highlightdown</f>
        <v>A Fall of 3% or more</v>
      </c>
      <c r="F12" s="1007"/>
      <c r="G12" s="72" t="s">
        <v>27</v>
      </c>
      <c r="H12" s="72" t="s">
        <v>28</v>
      </c>
      <c r="I12" s="72" t="s">
        <v>29</v>
      </c>
      <c r="J12" s="73" t="s">
        <v>30</v>
      </c>
      <c r="K12" s="73" t="s">
        <v>31</v>
      </c>
      <c r="L12" s="73" t="s">
        <v>32</v>
      </c>
      <c r="M12" s="71" t="s">
        <v>33</v>
      </c>
      <c r="N12" s="71" t="s">
        <v>34</v>
      </c>
      <c r="O12" s="71" t="s">
        <v>35</v>
      </c>
      <c r="P12" s="70" t="s">
        <v>36</v>
      </c>
      <c r="Q12" s="70" t="s">
        <v>37</v>
      </c>
      <c r="R12" s="70" t="s">
        <v>38</v>
      </c>
      <c r="S12" s="991"/>
      <c r="T12" s="991"/>
      <c r="U12" s="74" t="s">
        <v>93</v>
      </c>
      <c r="V12" s="75" t="s">
        <v>94</v>
      </c>
      <c r="W12" s="76" t="s">
        <v>95</v>
      </c>
      <c r="X12" s="77" t="s">
        <v>96</v>
      </c>
    </row>
    <row r="13" spans="1:27" ht="16.149999999999999" customHeight="1" thickTop="1" thickBot="1" x14ac:dyDescent="0.25">
      <c r="E13" s="1008" t="str">
        <f>"% Change "&amp;MIN(REP.yearsrange)&amp;" to "&amp;MAX(REP.yearsrange)</f>
        <v>% Change 2009 to 2013</v>
      </c>
      <c r="F13" s="1008"/>
      <c r="G13" s="78">
        <f ca="1">INDEX(G$16:G$27,MATCH(MAX(REP.yearsrange),$E$16:$E$27,0))/INDEX(G$16:G$27,MATCH(MIN(REP.yearsrange),$E$16:$E$27,0))-1</f>
        <v>-6.4529257178774779E-3</v>
      </c>
      <c r="H13" s="78">
        <f ca="1">INDEX(H$16:H$27,MATCH(MAX(REP.yearsrange),$E$16:$E$27,0))/INDEX(H$16:H$27,MATCH(MIN(REP.yearsrange),$E$16:$E$27,0))-1</f>
        <v>4.9882616821838033E-2</v>
      </c>
      <c r="I13" s="78">
        <f ca="1">INDEX(I$16:I$27,MATCH(MAX(REP.yearsrange),$E$16:$E$27,0))/INDEX(I$16:I$27,MATCH(MIN(REP.yearsrange),$E$16:$E$27,0))-1</f>
        <v>0.15180882335573243</v>
      </c>
      <c r="J13" s="78">
        <f ca="1">INDEX(J$16:J$27,MATCH(MAX(REP.yearsrange),$E$16:$E$27,0))/INDEX(J$16:J$27,MATCH(MIN(REP.yearsrange),$E$16:$E$27,0))-1</f>
        <v>2.7107220241556984E-2</v>
      </c>
      <c r="K13" s="78">
        <f ca="1">INDEX(K$16:K$27,MATCH(MAX(REP.yearsrange),$E$16:$E$27,0))/INDEX(K$16:K$27,MATCH(MIN(REP.yearsrange),$E$16:$E$27,0))-1</f>
        <v>-3.1193783828161514E-2</v>
      </c>
      <c r="L13" s="78">
        <f ca="1">INDEX(L$16:L$27,MATCH(MAX(REP.yearsrange),$E$16:$E$27,0))/INDEX(L$16:L$27,MATCH(MIN(REP.yearsrange),$E$16:$E$27,0))-1</f>
        <v>1.4549177551593573E-2</v>
      </c>
      <c r="M13" s="79">
        <f ca="1">INDEX(M$16:M$27,MATCH(MAX(REP.yearsrange),$E$16:$E$27,0))/INDEX(M$16:M$27,MATCH(MIN(REP.yearsrange),$E$16:$E$27,0))-1</f>
        <v>4.5653426297504351E-2</v>
      </c>
      <c r="N13" s="79">
        <f ca="1">INDEX(N$16:N$27,MATCH(MAX(REP.yearsrange),$E$16:$E$27,0))/INDEX(N$16:N$27,MATCH(MIN(REP.yearsrange),$E$16:$E$27,0))-1</f>
        <v>-2.9044669178370452E-2</v>
      </c>
      <c r="O13" s="79">
        <f ca="1">INDEX(O$16:O$27,MATCH(MAX(REP.yearsrange),$E$16:$E$27,0))/INDEX(O$16:O$27,MATCH(MIN(REP.yearsrange),$E$16:$E$27,0))-1</f>
        <v>-1.2449828112653161E-2</v>
      </c>
      <c r="P13" s="79">
        <f ca="1">INDEX(P$16:P$27,MATCH(MAX(REP.yearsrange),$E$16:$E$27,0))/INDEX(P$16:P$27,MATCH(MIN(REP.yearsrange),$E$16:$E$27,0))-1</f>
        <v>-4.7100793271278141E-2</v>
      </c>
      <c r="Q13" s="79">
        <f ca="1">INDEX(Q$16:Q$27,MATCH(MAX(REP.yearsrange),$E$16:$E$27,0))/INDEX(Q$16:Q$27,MATCH(MIN(REP.yearsrange),$E$16:$E$27,0))-1</f>
        <v>-9.691591247231246E-2</v>
      </c>
      <c r="R13" s="79">
        <f ca="1">INDEX(R$16:R$27,MATCH(MAX(REP.yearsrange),$E$16:$E$27,0))/INDEX(R$16:R$27,MATCH(MIN(REP.yearsrange),$E$16:$E$27,0))-1</f>
        <v>-3.4377936325158065E-2</v>
      </c>
      <c r="S13" s="79">
        <f ca="1">INDEX(S$16:S$27,MATCH(MAX(REP.yearsrange),$E$16:$E$27,0))/INDEX(S$16:S$27,MATCH(MIN(REP.yearsrange),$E$16:$E$27,0))-1</f>
        <v>3.4046225762036642E-3</v>
      </c>
      <c r="T13" s="1009" t="str">
        <f>"Annual"&amp;CHAR(10)&amp;"Change"</f>
        <v>Annual
Change</v>
      </c>
      <c r="U13" s="78">
        <f ca="1">INDEX(U$16:U$27,MATCH(MAX(REP.yearsrange),$E$16:$E$27,0))/INDEX(U$16:U$27,MATCH(MIN(REP.yearsrange),$E$16:$E$27,0))-1</f>
        <v>6.5460735132562453E-2</v>
      </c>
      <c r="V13" s="78">
        <f ca="1">INDEX(V$16:V$27,MATCH(MAX(REP.yearsrange),$E$16:$E$27,0))/INDEX(V$16:V$27,MATCH(MIN(REP.yearsrange),$E$16:$E$27,0))-1</f>
        <v>2.3659386334105026E-3</v>
      </c>
      <c r="W13" s="78">
        <f ca="1">INDEX(W$16:W$27,MATCH(MAX(REP.yearsrange),$E$16:$E$27,0))/INDEX(W$16:W$27,MATCH(MIN(REP.yearsrange),$E$16:$E$27,0))-1</f>
        <v>2.0709052310630138E-3</v>
      </c>
      <c r="X13" s="78">
        <f ca="1">INDEX(X$16:X$27,MATCH(MAX(REP.yearsrange),$E$16:$E$27,0))/INDEX(X$16:X$27,MATCH(MIN(REP.yearsrange),$E$16:$E$27,0))-1</f>
        <v>-5.9093422439167598E-2</v>
      </c>
    </row>
    <row r="14" spans="1:27" ht="16.149999999999999" customHeight="1" thickTop="1" thickBot="1" x14ac:dyDescent="0.25">
      <c r="E14" s="1008" t="str">
        <f>"% Change "&amp;INDEX(REP.yearsrange,COUNT(REP.yearsrange)-1)&amp;" to "&amp;MAX(REP.yearsrange)</f>
        <v>% Change 2012 to 2013</v>
      </c>
      <c r="F14" s="1008"/>
      <c r="G14" s="78">
        <f ca="1">INDEX(G$16:G$27,MATCH(MAX(REP.yearsrange),$E$16:$E$27,0))/INDEX(G$16:G$27,MATCH(INDEX(REP.yearsrange,COUNT(REP.yearsrange)-1),$E$16:$E$27,0))-1</f>
        <v>8.43722324737195E-3</v>
      </c>
      <c r="H14" s="78">
        <f ca="1">INDEX(H$16:H$27,MATCH(MAX(REP.yearsrange),$E$16:$E$27,0))/INDEX(H$16:H$27,MATCH(INDEX(REP.yearsrange,COUNT(REP.yearsrange)-1),$E$16:$E$27,0))-1</f>
        <v>2.9395198617998108E-2</v>
      </c>
      <c r="I14" s="78">
        <f ca="1">INDEX(I$16:I$27,MATCH(MAX(REP.yearsrange),$E$16:$E$27,0))/INDEX(I$16:I$27,MATCH(INDEX(REP.yearsrange,COUNT(REP.yearsrange)-1),$E$16:$E$27,0))-1</f>
        <v>9.121971480765434E-2</v>
      </c>
      <c r="J14" s="78">
        <f ca="1">INDEX(J$16:J$27,MATCH(MAX(REP.yearsrange),$E$16:$E$27,0))/INDEX(J$16:J$27,MATCH(INDEX(REP.yearsrange,COUNT(REP.yearsrange)-1),$E$16:$E$27,0))-1</f>
        <v>2.9045779409854866E-2</v>
      </c>
      <c r="K14" s="78">
        <f ca="1">INDEX(K$16:K$27,MATCH(MAX(REP.yearsrange),$E$16:$E$27,0))/INDEX(K$16:K$27,MATCH(INDEX(REP.yearsrange,COUNT(REP.yearsrange)-1),$E$16:$E$27,0))-1</f>
        <v>5.7251664165833382E-2</v>
      </c>
      <c r="L14" s="78">
        <f ca="1">INDEX(L$16:L$27,MATCH(MAX(REP.yearsrange),$E$16:$E$27,0))/INDEX(L$16:L$27,MATCH(INDEX(REP.yearsrange,COUNT(REP.yearsrange)-1),$E$16:$E$27,0))-1</f>
        <v>-3.2546261211605643E-3</v>
      </c>
      <c r="M14" s="79">
        <f ca="1">INDEX(M$16:M$27,MATCH(MAX(REP.yearsrange),$E$16:$E$27,0))/INDEX(M$16:M$27,MATCH(INDEX(REP.yearsrange,COUNT(REP.yearsrange)-1),$E$16:$E$27,0))-1</f>
        <v>0.11595312616368703</v>
      </c>
      <c r="N14" s="79">
        <f ca="1">INDEX(N$16:N$27,MATCH(MAX(REP.yearsrange),$E$16:$E$27,0))/INDEX(N$16:N$27,MATCH(INDEX(REP.yearsrange,COUNT(REP.yearsrange)-1),$E$16:$E$27,0))-1</f>
        <v>7.7743829446447421E-2</v>
      </c>
      <c r="O14" s="79">
        <f ca="1">INDEX(O$16:O$27,MATCH(MAX(REP.yearsrange),$E$16:$E$27,0))/INDEX(O$16:O$27,MATCH(INDEX(REP.yearsrange,COUNT(REP.yearsrange)-1),$E$16:$E$27,0))-1</f>
        <v>1.3484410102916788E-2</v>
      </c>
      <c r="P14" s="79">
        <f ca="1">INDEX(P$16:P$27,MATCH(MAX(REP.yearsrange),$E$16:$E$27,0))/INDEX(P$16:P$27,MATCH(INDEX(REP.yearsrange,COUNT(REP.yearsrange)-1),$E$16:$E$27,0))-1</f>
        <v>1.8909076342993325E-2</v>
      </c>
      <c r="Q14" s="79">
        <f ca="1">INDEX(Q$16:Q$27,MATCH(MAX(REP.yearsrange),$E$16:$E$27,0))/INDEX(Q$16:Q$27,MATCH(INDEX(REP.yearsrange,COUNT(REP.yearsrange)-1),$E$16:$E$27,0))-1</f>
        <v>-1.6171115902144373E-2</v>
      </c>
      <c r="R14" s="79">
        <f ca="1">INDEX(R$16:R$27,MATCH(MAX(REP.yearsrange),$E$16:$E$27,0))/INDEX(R$16:R$27,MATCH(INDEX(REP.yearsrange,COUNT(REP.yearsrange)-1),$E$16:$E$27,0))-1</f>
        <v>-4.5786941347078725E-2</v>
      </c>
      <c r="S14" s="79">
        <f ca="1">INDEX(S$16:S$27,MATCH(MAX(REP.yearsrange),$E$16:$E$27,0))/INDEX(S$16:S$27,MATCH(INDEX(REP.yearsrange,COUNT(REP.yearsrange)-1),$E$16:$E$27,0))-1</f>
        <v>3.6123216447979223E-2</v>
      </c>
      <c r="T14" s="1009"/>
      <c r="U14" s="78">
        <f ca="1">INDEX(U$16:U$27,MATCH(MAX(REP.yearsrange),$E$16:$E$27,0))/INDEX(U$16:U$27,MATCH(INDEX(REP.yearsrange,COUNT(REP.yearsrange)-1),$E$16:$E$27,0))-1</f>
        <v>4.4294490766227934E-2</v>
      </c>
      <c r="V14" s="78">
        <f ca="1">INDEX(V$16:V$27,MATCH(MAX(REP.yearsrange),$E$16:$E$27,0))/INDEX(V$16:V$27,MATCH(INDEX(REP.yearsrange,COUNT(REP.yearsrange)-1),$E$16:$E$27,0))-1</f>
        <v>2.6613653168557239E-2</v>
      </c>
      <c r="W14" s="78">
        <f ca="1">INDEX(W$16:W$27,MATCH(MAX(REP.yearsrange),$E$16:$E$27,0))/INDEX(W$16:W$27,MATCH(INDEX(REP.yearsrange,COUNT(REP.yearsrange)-1),$E$16:$E$27,0))-1</f>
        <v>7.2911676156232064E-2</v>
      </c>
      <c r="X14" s="78">
        <f ca="1">INDEX(X$16:X$27,MATCH(MAX(REP.yearsrange),$E$16:$E$27,0))/INDEX(X$16:X$27,MATCH(INDEX(REP.yearsrange,COUNT(REP.yearsrange)-1),$E$16:$E$27,0))-1</f>
        <v>-1.2479682514725754E-2</v>
      </c>
    </row>
    <row r="15" spans="1:27" ht="16.149999999999999" customHeight="1" thickTop="1" thickBot="1" x14ac:dyDescent="0.25">
      <c r="E15" s="1008" t="s">
        <v>118</v>
      </c>
      <c r="F15" s="1008"/>
      <c r="G15" s="78">
        <f ca="1">G14/(COUNT(REP.yearsrange)-1)</f>
        <v>2.1093058118429875E-3</v>
      </c>
      <c r="H15" s="78">
        <f ca="1">H14/(COUNT(REP.yearsrange)-1)</f>
        <v>7.3487996544995271E-3</v>
      </c>
      <c r="I15" s="78">
        <f ca="1">I14/(COUNT(REP.yearsrange)-1)</f>
        <v>2.2804928701913585E-2</v>
      </c>
      <c r="J15" s="78">
        <f ca="1">J14/(COUNT(REP.yearsrange)-1)</f>
        <v>7.2614448524637165E-3</v>
      </c>
      <c r="K15" s="78">
        <f ca="1">K14/(COUNT(REP.yearsrange)-1)</f>
        <v>1.4312916041458346E-2</v>
      </c>
      <c r="L15" s="78">
        <f ca="1">L14/(COUNT(REP.yearsrange)-1)</f>
        <v>-8.1365653029014107E-4</v>
      </c>
      <c r="M15" s="79">
        <f ca="1">M14/(COUNT(REP.yearsrange)-1)</f>
        <v>2.8988281540921756E-2</v>
      </c>
      <c r="N15" s="79">
        <f ca="1">N14/(COUNT(REP.yearsrange)-1)</f>
        <v>1.9435957361611855E-2</v>
      </c>
      <c r="O15" s="79">
        <f ca="1">O14/(COUNT(REP.yearsrange)-1)</f>
        <v>3.3711025257291971E-3</v>
      </c>
      <c r="P15" s="79">
        <f ca="1">P14/(COUNT(REP.yearsrange)-1)</f>
        <v>4.7272690857483313E-3</v>
      </c>
      <c r="Q15" s="79">
        <f ca="1">Q14/(COUNT(REP.yearsrange)-1)</f>
        <v>-4.0427789755360932E-3</v>
      </c>
      <c r="R15" s="79">
        <f ca="1">R14/(COUNT(REP.yearsrange)-1)</f>
        <v>-1.1446735336769681E-2</v>
      </c>
      <c r="S15" s="79">
        <f ca="1">S14/(COUNT(REP.yearsrange)-1)</f>
        <v>9.0308041119948057E-3</v>
      </c>
      <c r="T15" s="1009"/>
      <c r="U15" s="78">
        <f ca="1">U14/(COUNT(REP.yearsrange)-1)</f>
        <v>1.1073622691556984E-2</v>
      </c>
      <c r="V15" s="78">
        <f ca="1">V14/(COUNT(REP.yearsrange)-1)</f>
        <v>6.6534132921393097E-3</v>
      </c>
      <c r="W15" s="78">
        <f ca="1">W14/(COUNT(REP.yearsrange)-1)</f>
        <v>1.8227919039058016E-2</v>
      </c>
      <c r="X15" s="78">
        <f ca="1">X14/(COUNT(REP.yearsrange)-1)</f>
        <v>-3.1199206286814385E-3</v>
      </c>
    </row>
    <row r="16" spans="1:27" ht="16.149999999999999" customHeight="1" thickTop="1" thickBot="1" x14ac:dyDescent="0.25">
      <c r="E16" s="93">
        <f t="array" ref="E16:E27">INDEX(REP.yearsrange,REP.yearnos)</f>
        <v>2009</v>
      </c>
      <c r="F16" s="42" t="s">
        <v>60</v>
      </c>
      <c r="G16" s="101">
        <f t="array" ref="G16:G27" ca="1">EMP.MONTHLYDATA</f>
        <v>2449.99618827637</v>
      </c>
      <c r="H16" s="101">
        <f t="array" ref="H16:H27" ca="1">EMP.MONTHLYDATA</f>
        <v>2318.1462814959732</v>
      </c>
      <c r="I16" s="101">
        <f t="array" ref="I16:I27" ca="1">EMP.MONTHLYDATA</f>
        <v>2458.659553117026</v>
      </c>
      <c r="J16" s="102">
        <f t="array" ref="J16:J27" ca="1">EMP.MONTHLYDATA</f>
        <v>2518.0965799759283</v>
      </c>
      <c r="K16" s="102">
        <f t="array" ref="K16:K27" ca="1">EMP.MONTHLYDATA</f>
        <v>2902.4501809316052</v>
      </c>
      <c r="L16" s="102">
        <f t="array" ref="L16:L27" ca="1">EMP.MONTHLYDATA</f>
        <v>2881.3754835354339</v>
      </c>
      <c r="M16" s="103">
        <f t="array" ref="M16:M27" ca="1">EMP.MONTHLYDATA</f>
        <v>3446.0094111667372</v>
      </c>
      <c r="N16" s="103">
        <f t="array" ref="N16:N27" ca="1">EMP.MONTHLYDATA</f>
        <v>3581.0448459632817</v>
      </c>
      <c r="O16" s="103">
        <f t="array" ref="O16:O27" ca="1">EMP.MONTHLYDATA</f>
        <v>2669.2529551898861</v>
      </c>
      <c r="P16" s="104">
        <f t="array" ref="P16:P27" ca="1">EMP.MONTHLYDATA</f>
        <v>2608.2702612286912</v>
      </c>
      <c r="Q16" s="104">
        <f t="array" ref="Q16:Q27" ca="1">EMP.MONTHLYDATA</f>
        <v>2168.9548447764791</v>
      </c>
      <c r="R16" s="104">
        <f t="array" ref="R16:R27" ca="1">EMP.MONTHLYDATA</f>
        <v>2053.581092931815</v>
      </c>
      <c r="S16" s="105">
        <f t="array" ref="S16:S27" ca="1">EMP.MONTHLYDATA</f>
        <v>2671.3198065491024</v>
      </c>
      <c r="T16" s="1009"/>
      <c r="U16" s="101">
        <f t="shared" ref="U16:U27" ca="1" si="0">IF(AVERAGE(G16:I16)=0,"",AVERAGE(G16:I16))</f>
        <v>2408.9340076297899</v>
      </c>
      <c r="V16" s="102">
        <f t="shared" ref="V16:V27" ca="1" si="1">IF(AVERAGE(J16:L16)=0,"",AVERAGE(J16:L16))</f>
        <v>2767.3074148143223</v>
      </c>
      <c r="W16" s="103">
        <f t="shared" ref="W16:W27" ca="1" si="2">IF(AVERAGE(M16:O16)=0,"",AVERAGE(M16:O16))</f>
        <v>3232.1024041066353</v>
      </c>
      <c r="X16" s="104">
        <f t="shared" ref="X16:X27" ca="1" si="3">IF(AVERAGE(P16:R16)=0,"",AVERAGE(P16:R16))</f>
        <v>2276.9353996456616</v>
      </c>
      <c r="Y16" s="80"/>
      <c r="AA16" s="111">
        <f ca="1">S16</f>
        <v>2671.3198065491024</v>
      </c>
    </row>
    <row r="17" spans="4:24" ht="16.149999999999999" customHeight="1" thickTop="1" thickBot="1" x14ac:dyDescent="0.25">
      <c r="E17" s="93">
        <v>2010</v>
      </c>
      <c r="F17" s="42" t="str">
        <f>$F$16</f>
        <v>FTEs</v>
      </c>
      <c r="G17" s="101">
        <f ca="1"/>
        <v>2328.2346260401764</v>
      </c>
      <c r="H17" s="101">
        <f ca="1"/>
        <v>2224.9425886345462</v>
      </c>
      <c r="I17" s="101">
        <f ca="1"/>
        <v>2703.1086545533085</v>
      </c>
      <c r="J17" s="102">
        <f ca="1"/>
        <v>2632.6174626149068</v>
      </c>
      <c r="K17" s="102">
        <f ca="1"/>
        <v>2998.192652314608</v>
      </c>
      <c r="L17" s="102">
        <f ca="1"/>
        <v>3130.7179460457469</v>
      </c>
      <c r="M17" s="103">
        <f ca="1"/>
        <v>3278.5622938798829</v>
      </c>
      <c r="N17" s="103">
        <f ca="1"/>
        <v>3397.4089433028826</v>
      </c>
      <c r="O17" s="103">
        <f ca="1"/>
        <v>2692.7015442345319</v>
      </c>
      <c r="P17" s="104">
        <f ca="1"/>
        <v>2635.3146984677196</v>
      </c>
      <c r="Q17" s="104">
        <f ca="1"/>
        <v>2024.2936856527663</v>
      </c>
      <c r="R17" s="104">
        <f ca="1"/>
        <v>2004.6470306579263</v>
      </c>
      <c r="S17" s="105">
        <f ca="1"/>
        <v>2670.8951771999168</v>
      </c>
      <c r="T17" s="44">
        <f ca="1">IFERROR(IF(S17&lt;&gt;0,S17/S16-1,""),"")</f>
        <v>-1.5895863465864579E-4</v>
      </c>
      <c r="U17" s="101">
        <f t="shared" ca="1" si="0"/>
        <v>2418.7619564093438</v>
      </c>
      <c r="V17" s="102">
        <f t="shared" ca="1" si="1"/>
        <v>2920.5093536584204</v>
      </c>
      <c r="W17" s="103">
        <f t="shared" ca="1" si="2"/>
        <v>3122.8909271390989</v>
      </c>
      <c r="X17" s="104">
        <f t="shared" ca="1" si="3"/>
        <v>2221.4184715928041</v>
      </c>
    </row>
    <row r="18" spans="4:24" ht="16.149999999999999" customHeight="1" thickTop="1" thickBot="1" x14ac:dyDescent="0.25">
      <c r="E18" s="93">
        <v>2011</v>
      </c>
      <c r="F18" s="42" t="str">
        <f t="shared" ref="F18:F27" si="4">$F$16</f>
        <v>FTEs</v>
      </c>
      <c r="G18" s="101">
        <f ca="1"/>
        <v>2134.925902114966</v>
      </c>
      <c r="H18" s="101">
        <f ca="1"/>
        <v>2303.3038060179388</v>
      </c>
      <c r="I18" s="101">
        <f ca="1"/>
        <v>2495.453569217666</v>
      </c>
      <c r="J18" s="102">
        <f ca="1"/>
        <v>2680.0908315842971</v>
      </c>
      <c r="K18" s="102">
        <f ca="1"/>
        <v>2774.241419999697</v>
      </c>
      <c r="L18" s="102">
        <f ca="1"/>
        <v>2929.4988444516466</v>
      </c>
      <c r="M18" s="103">
        <f ca="1"/>
        <v>3124.9012285982026</v>
      </c>
      <c r="N18" s="103">
        <f ca="1"/>
        <v>3222.7476747352321</v>
      </c>
      <c r="O18" s="103">
        <f ca="1"/>
        <v>2522.1097695045687</v>
      </c>
      <c r="P18" s="104">
        <f ca="1"/>
        <v>2574.405407979606</v>
      </c>
      <c r="Q18" s="104">
        <f ca="1"/>
        <v>2078.7729166265472</v>
      </c>
      <c r="R18" s="104">
        <f ca="1"/>
        <v>2092.0102251911549</v>
      </c>
      <c r="S18" s="105">
        <f ca="1"/>
        <v>2577.7051330017935</v>
      </c>
      <c r="T18" s="44">
        <f t="shared" ref="T18:T27" ca="1" si="5">IFERROR(IF(S18&lt;&gt;0,S18/S17-1,""),"")</f>
        <v>-3.4890940308567542E-2</v>
      </c>
      <c r="U18" s="101">
        <f t="shared" ca="1" si="0"/>
        <v>2311.2277591168572</v>
      </c>
      <c r="V18" s="102">
        <f t="shared" ca="1" si="1"/>
        <v>2794.6103653452133</v>
      </c>
      <c r="W18" s="103">
        <f t="shared" ca="1" si="2"/>
        <v>2956.5862242793341</v>
      </c>
      <c r="X18" s="104">
        <f t="shared" ca="1" si="3"/>
        <v>2248.3961832657692</v>
      </c>
    </row>
    <row r="19" spans="4:24" ht="16.149999999999999" customHeight="1" thickTop="1" thickBot="1" x14ac:dyDescent="0.25">
      <c r="E19" s="93">
        <v>2012</v>
      </c>
      <c r="F19" s="42" t="str">
        <f t="shared" si="4"/>
        <v>FTEs</v>
      </c>
      <c r="G19" s="101">
        <f ca="1"/>
        <v>2413.8206015697897</v>
      </c>
      <c r="H19" s="101">
        <f ca="1"/>
        <v>2364.2829182225146</v>
      </c>
      <c r="I19" s="101">
        <f ca="1"/>
        <v>2595.1746733307718</v>
      </c>
      <c r="J19" s="102">
        <f ca="1"/>
        <v>2513.3528850797002</v>
      </c>
      <c r="K19" s="102">
        <f ca="1"/>
        <v>2659.6428009732213</v>
      </c>
      <c r="L19" s="102">
        <f ca="1"/>
        <v>2932.8424326286813</v>
      </c>
      <c r="M19" s="103">
        <f ca="1"/>
        <v>3228.9273297948639</v>
      </c>
      <c r="N19" s="103">
        <f ca="1"/>
        <v>3226.2161824533478</v>
      </c>
      <c r="O19" s="103">
        <f ca="1"/>
        <v>2600.9489523779639</v>
      </c>
      <c r="P19" s="104">
        <f ca="1"/>
        <v>2439.2938688694871</v>
      </c>
      <c r="Q19" s="104">
        <f ca="1"/>
        <v>1990.9443995231377</v>
      </c>
      <c r="R19" s="104">
        <f ca="1"/>
        <v>2078.1346418376074</v>
      </c>
      <c r="S19" s="105">
        <f ca="1"/>
        <v>2586.9651405550908</v>
      </c>
      <c r="T19" s="44">
        <f t="shared" ca="1" si="5"/>
        <v>3.5923455459445641E-3</v>
      </c>
      <c r="U19" s="101">
        <f t="shared" ca="1" si="0"/>
        <v>2457.7593977076922</v>
      </c>
      <c r="V19" s="102">
        <f t="shared" ca="1" si="1"/>
        <v>2701.9460395605342</v>
      </c>
      <c r="W19" s="103">
        <f t="shared" ca="1" si="2"/>
        <v>3018.6974882087252</v>
      </c>
      <c r="X19" s="104">
        <f t="shared" ca="1" si="3"/>
        <v>2169.4576367434106</v>
      </c>
    </row>
    <row r="20" spans="4:24" ht="16.149999999999999" customHeight="1" thickTop="1" thickBot="1" x14ac:dyDescent="0.25">
      <c r="E20" s="93">
        <v>2013</v>
      </c>
      <c r="F20" s="42" t="str">
        <f t="shared" si="4"/>
        <v>FTEs</v>
      </c>
      <c r="G20" s="101">
        <f ca="1"/>
        <v>2434.1865448643398</v>
      </c>
      <c r="H20" s="101">
        <f ca="1"/>
        <v>2433.7814841928057</v>
      </c>
      <c r="I20" s="101">
        <f ca="1"/>
        <v>2831.9057669080526</v>
      </c>
      <c r="J20" s="102">
        <f ca="1"/>
        <v>2586.3551785588475</v>
      </c>
      <c r="K20" s="102">
        <f ca="1"/>
        <v>2811.9117774156166</v>
      </c>
      <c r="L20" s="102">
        <f ca="1"/>
        <v>2923.2971270382</v>
      </c>
      <c r="M20" s="103">
        <f ca="1"/>
        <v>3603.3315478399445</v>
      </c>
      <c r="N20" s="103">
        <f ca="1"/>
        <v>3477.0345830993697</v>
      </c>
      <c r="O20" s="103">
        <f ca="1"/>
        <v>2636.0212147085804</v>
      </c>
      <c r="P20" s="104">
        <f ca="1"/>
        <v>2485.4186628589359</v>
      </c>
      <c r="Q20" s="104">
        <f ca="1"/>
        <v>1958.7486068837238</v>
      </c>
      <c r="R20" s="104">
        <f ca="1"/>
        <v>1982.9832128804564</v>
      </c>
      <c r="S20" s="105">
        <f ca="1"/>
        <v>2680.4146422707395</v>
      </c>
      <c r="T20" s="44">
        <f t="shared" ca="1" si="5"/>
        <v>3.6123216447979223E-2</v>
      </c>
      <c r="U20" s="101">
        <f t="shared" ca="1" si="0"/>
        <v>2566.6245986550657</v>
      </c>
      <c r="V20" s="102">
        <f t="shared" ca="1" si="1"/>
        <v>2773.854694337555</v>
      </c>
      <c r="W20" s="103">
        <f t="shared" ca="1" si="2"/>
        <v>3238.7957818826312</v>
      </c>
      <c r="X20" s="104">
        <f t="shared" ca="1" si="3"/>
        <v>2142.3834942077056</v>
      </c>
    </row>
    <row r="21" spans="4:24" ht="16.149999999999999" customHeight="1" thickTop="1" thickBot="1" x14ac:dyDescent="0.25">
      <c r="E21" s="93">
        <v>0</v>
      </c>
      <c r="F21" s="42" t="str">
        <f t="shared" si="4"/>
        <v>FTEs</v>
      </c>
      <c r="G21" s="101">
        <f ca="1"/>
        <v>0</v>
      </c>
      <c r="H21" s="101">
        <f ca="1"/>
        <v>0</v>
      </c>
      <c r="I21" s="101">
        <f ca="1"/>
        <v>0</v>
      </c>
      <c r="J21" s="102">
        <f ca="1"/>
        <v>0</v>
      </c>
      <c r="K21" s="102">
        <f ca="1"/>
        <v>0</v>
      </c>
      <c r="L21" s="102">
        <f ca="1"/>
        <v>0</v>
      </c>
      <c r="M21" s="103">
        <f ca="1"/>
        <v>0</v>
      </c>
      <c r="N21" s="103">
        <f ca="1"/>
        <v>0</v>
      </c>
      <c r="O21" s="103">
        <f ca="1"/>
        <v>0</v>
      </c>
      <c r="P21" s="104">
        <f ca="1"/>
        <v>0</v>
      </c>
      <c r="Q21" s="104">
        <f ca="1"/>
        <v>0</v>
      </c>
      <c r="R21" s="104">
        <f ca="1"/>
        <v>0</v>
      </c>
      <c r="S21" s="105">
        <f ca="1"/>
        <v>0</v>
      </c>
      <c r="T21" s="44" t="str">
        <f t="shared" ca="1" si="5"/>
        <v/>
      </c>
      <c r="U21" s="101" t="str">
        <f t="shared" ca="1" si="0"/>
        <v/>
      </c>
      <c r="V21" s="102" t="str">
        <f t="shared" ca="1" si="1"/>
        <v/>
      </c>
      <c r="W21" s="103" t="str">
        <f t="shared" ca="1" si="2"/>
        <v/>
      </c>
      <c r="X21" s="104" t="str">
        <f t="shared" ca="1" si="3"/>
        <v/>
      </c>
    </row>
    <row r="22" spans="4:24" ht="16.149999999999999" customHeight="1" thickTop="1" thickBot="1" x14ac:dyDescent="0.25">
      <c r="E22" s="93">
        <v>0</v>
      </c>
      <c r="F22" s="42" t="str">
        <f t="shared" si="4"/>
        <v>FTEs</v>
      </c>
      <c r="G22" s="101">
        <f ca="1"/>
        <v>0</v>
      </c>
      <c r="H22" s="101">
        <f ca="1"/>
        <v>0</v>
      </c>
      <c r="I22" s="101">
        <f ca="1"/>
        <v>0</v>
      </c>
      <c r="J22" s="102">
        <f ca="1"/>
        <v>0</v>
      </c>
      <c r="K22" s="102">
        <f ca="1"/>
        <v>0</v>
      </c>
      <c r="L22" s="102">
        <f ca="1"/>
        <v>0</v>
      </c>
      <c r="M22" s="103">
        <f ca="1"/>
        <v>0</v>
      </c>
      <c r="N22" s="103">
        <f ca="1"/>
        <v>0</v>
      </c>
      <c r="O22" s="103">
        <f ca="1"/>
        <v>0</v>
      </c>
      <c r="P22" s="104">
        <f ca="1"/>
        <v>0</v>
      </c>
      <c r="Q22" s="104">
        <f ca="1"/>
        <v>0</v>
      </c>
      <c r="R22" s="104">
        <f ca="1"/>
        <v>0</v>
      </c>
      <c r="S22" s="105">
        <f ca="1"/>
        <v>0</v>
      </c>
      <c r="T22" s="44" t="str">
        <f t="shared" ca="1" si="5"/>
        <v/>
      </c>
      <c r="U22" s="101" t="str">
        <f t="shared" ca="1" si="0"/>
        <v/>
      </c>
      <c r="V22" s="102" t="str">
        <f t="shared" ca="1" si="1"/>
        <v/>
      </c>
      <c r="W22" s="103" t="str">
        <f t="shared" ca="1" si="2"/>
        <v/>
      </c>
      <c r="X22" s="104" t="str">
        <f t="shared" ca="1" si="3"/>
        <v/>
      </c>
    </row>
    <row r="23" spans="4:24" ht="16.149999999999999" customHeight="1" thickTop="1" thickBot="1" x14ac:dyDescent="0.25">
      <c r="E23" s="93">
        <v>0</v>
      </c>
      <c r="F23" s="42" t="str">
        <f t="shared" si="4"/>
        <v>FTEs</v>
      </c>
      <c r="G23" s="101">
        <f ca="1"/>
        <v>0</v>
      </c>
      <c r="H23" s="101">
        <f ca="1"/>
        <v>0</v>
      </c>
      <c r="I23" s="101">
        <f ca="1"/>
        <v>0</v>
      </c>
      <c r="J23" s="102">
        <f ca="1"/>
        <v>0</v>
      </c>
      <c r="K23" s="102">
        <f ca="1"/>
        <v>0</v>
      </c>
      <c r="L23" s="102">
        <f ca="1"/>
        <v>0</v>
      </c>
      <c r="M23" s="103">
        <f ca="1"/>
        <v>0</v>
      </c>
      <c r="N23" s="103">
        <f ca="1"/>
        <v>0</v>
      </c>
      <c r="O23" s="103">
        <f ca="1"/>
        <v>0</v>
      </c>
      <c r="P23" s="104">
        <f ca="1"/>
        <v>0</v>
      </c>
      <c r="Q23" s="104">
        <f ca="1"/>
        <v>0</v>
      </c>
      <c r="R23" s="104">
        <f ca="1"/>
        <v>0</v>
      </c>
      <c r="S23" s="105">
        <f ca="1"/>
        <v>0</v>
      </c>
      <c r="T23" s="44" t="str">
        <f t="shared" ca="1" si="5"/>
        <v/>
      </c>
      <c r="U23" s="101" t="str">
        <f t="shared" ca="1" si="0"/>
        <v/>
      </c>
      <c r="V23" s="102" t="str">
        <f t="shared" ca="1" si="1"/>
        <v/>
      </c>
      <c r="W23" s="103" t="str">
        <f t="shared" ca="1" si="2"/>
        <v/>
      </c>
      <c r="X23" s="104" t="str">
        <f t="shared" ca="1" si="3"/>
        <v/>
      </c>
    </row>
    <row r="24" spans="4:24" ht="16.149999999999999" customHeight="1" thickTop="1" thickBot="1" x14ac:dyDescent="0.25">
      <c r="E24" s="93">
        <v>0</v>
      </c>
      <c r="F24" s="42" t="str">
        <f t="shared" si="4"/>
        <v>FTEs</v>
      </c>
      <c r="G24" s="101">
        <f ca="1"/>
        <v>0</v>
      </c>
      <c r="H24" s="101">
        <f ca="1"/>
        <v>0</v>
      </c>
      <c r="I24" s="101">
        <f ca="1"/>
        <v>0</v>
      </c>
      <c r="J24" s="102">
        <f ca="1"/>
        <v>0</v>
      </c>
      <c r="K24" s="102">
        <f ca="1"/>
        <v>0</v>
      </c>
      <c r="L24" s="102">
        <f ca="1"/>
        <v>0</v>
      </c>
      <c r="M24" s="103">
        <f ca="1"/>
        <v>0</v>
      </c>
      <c r="N24" s="103">
        <f ca="1"/>
        <v>0</v>
      </c>
      <c r="O24" s="103">
        <f ca="1"/>
        <v>0</v>
      </c>
      <c r="P24" s="104">
        <f ca="1"/>
        <v>0</v>
      </c>
      <c r="Q24" s="104">
        <f ca="1"/>
        <v>0</v>
      </c>
      <c r="R24" s="104">
        <f ca="1"/>
        <v>0</v>
      </c>
      <c r="S24" s="105">
        <f ca="1"/>
        <v>0</v>
      </c>
      <c r="T24" s="44" t="str">
        <f t="shared" ca="1" si="5"/>
        <v/>
      </c>
      <c r="U24" s="101" t="str">
        <f t="shared" ca="1" si="0"/>
        <v/>
      </c>
      <c r="V24" s="102" t="str">
        <f t="shared" ca="1" si="1"/>
        <v/>
      </c>
      <c r="W24" s="103" t="str">
        <f t="shared" ca="1" si="2"/>
        <v/>
      </c>
      <c r="X24" s="104" t="str">
        <f t="shared" ca="1" si="3"/>
        <v/>
      </c>
    </row>
    <row r="25" spans="4:24" ht="16.149999999999999" customHeight="1" thickTop="1" thickBot="1" x14ac:dyDescent="0.25">
      <c r="E25" s="93">
        <v>0</v>
      </c>
      <c r="F25" s="42" t="str">
        <f t="shared" si="4"/>
        <v>FTEs</v>
      </c>
      <c r="G25" s="101">
        <f ca="1"/>
        <v>0</v>
      </c>
      <c r="H25" s="101">
        <f ca="1"/>
        <v>0</v>
      </c>
      <c r="I25" s="101">
        <f ca="1"/>
        <v>0</v>
      </c>
      <c r="J25" s="102">
        <f ca="1"/>
        <v>0</v>
      </c>
      <c r="K25" s="102">
        <f ca="1"/>
        <v>0</v>
      </c>
      <c r="L25" s="102">
        <f ca="1"/>
        <v>0</v>
      </c>
      <c r="M25" s="103">
        <f ca="1"/>
        <v>0</v>
      </c>
      <c r="N25" s="103">
        <f ca="1"/>
        <v>0</v>
      </c>
      <c r="O25" s="103">
        <f ca="1"/>
        <v>0</v>
      </c>
      <c r="P25" s="104">
        <f ca="1"/>
        <v>0</v>
      </c>
      <c r="Q25" s="104">
        <f ca="1"/>
        <v>0</v>
      </c>
      <c r="R25" s="104">
        <f ca="1"/>
        <v>0</v>
      </c>
      <c r="S25" s="105">
        <f ca="1"/>
        <v>0</v>
      </c>
      <c r="T25" s="44" t="str">
        <f t="shared" ca="1" si="5"/>
        <v/>
      </c>
      <c r="U25" s="101" t="str">
        <f t="shared" ca="1" si="0"/>
        <v/>
      </c>
      <c r="V25" s="102" t="str">
        <f t="shared" ca="1" si="1"/>
        <v/>
      </c>
      <c r="W25" s="103" t="str">
        <f t="shared" ca="1" si="2"/>
        <v/>
      </c>
      <c r="X25" s="104" t="str">
        <f t="shared" ca="1" si="3"/>
        <v/>
      </c>
    </row>
    <row r="26" spans="4:24" ht="16.149999999999999" customHeight="1" thickTop="1" thickBot="1" x14ac:dyDescent="0.25">
      <c r="E26" s="93">
        <v>0</v>
      </c>
      <c r="F26" s="42" t="str">
        <f t="shared" si="4"/>
        <v>FTEs</v>
      </c>
      <c r="G26" s="101">
        <f ca="1"/>
        <v>0</v>
      </c>
      <c r="H26" s="101">
        <f ca="1"/>
        <v>0</v>
      </c>
      <c r="I26" s="101">
        <f ca="1"/>
        <v>0</v>
      </c>
      <c r="J26" s="102">
        <f ca="1"/>
        <v>0</v>
      </c>
      <c r="K26" s="102">
        <f ca="1"/>
        <v>0</v>
      </c>
      <c r="L26" s="102">
        <f ca="1"/>
        <v>0</v>
      </c>
      <c r="M26" s="103">
        <f ca="1"/>
        <v>0</v>
      </c>
      <c r="N26" s="103">
        <f ca="1"/>
        <v>0</v>
      </c>
      <c r="O26" s="103">
        <f ca="1"/>
        <v>0</v>
      </c>
      <c r="P26" s="104">
        <f ca="1"/>
        <v>0</v>
      </c>
      <c r="Q26" s="104">
        <f ca="1"/>
        <v>0</v>
      </c>
      <c r="R26" s="104">
        <f ca="1"/>
        <v>0</v>
      </c>
      <c r="S26" s="105">
        <f ca="1"/>
        <v>0</v>
      </c>
      <c r="T26" s="44" t="str">
        <f t="shared" ca="1" si="5"/>
        <v/>
      </c>
      <c r="U26" s="101" t="str">
        <f t="shared" ca="1" si="0"/>
        <v/>
      </c>
      <c r="V26" s="102" t="str">
        <f t="shared" ca="1" si="1"/>
        <v/>
      </c>
      <c r="W26" s="103" t="str">
        <f t="shared" ca="1" si="2"/>
        <v/>
      </c>
      <c r="X26" s="104" t="str">
        <f t="shared" ca="1" si="3"/>
        <v/>
      </c>
    </row>
    <row r="27" spans="4:24" ht="16.149999999999999" customHeight="1" thickTop="1" thickBot="1" x14ac:dyDescent="0.25">
      <c r="E27" s="93">
        <v>0</v>
      </c>
      <c r="F27" s="42" t="str">
        <f t="shared" si="4"/>
        <v>FTEs</v>
      </c>
      <c r="G27" s="101">
        <f ca="1"/>
        <v>0</v>
      </c>
      <c r="H27" s="101">
        <f ca="1"/>
        <v>0</v>
      </c>
      <c r="I27" s="101">
        <f ca="1"/>
        <v>0</v>
      </c>
      <c r="J27" s="102">
        <f ca="1"/>
        <v>0</v>
      </c>
      <c r="K27" s="102">
        <f ca="1"/>
        <v>0</v>
      </c>
      <c r="L27" s="102">
        <f ca="1"/>
        <v>0</v>
      </c>
      <c r="M27" s="103">
        <f ca="1"/>
        <v>0</v>
      </c>
      <c r="N27" s="103">
        <f ca="1"/>
        <v>0</v>
      </c>
      <c r="O27" s="103">
        <f ca="1"/>
        <v>0</v>
      </c>
      <c r="P27" s="104">
        <f ca="1"/>
        <v>0</v>
      </c>
      <c r="Q27" s="104">
        <f ca="1"/>
        <v>0</v>
      </c>
      <c r="R27" s="104">
        <f ca="1"/>
        <v>0</v>
      </c>
      <c r="S27" s="105">
        <f ca="1"/>
        <v>0</v>
      </c>
      <c r="T27" s="44" t="str">
        <f t="shared" ca="1" si="5"/>
        <v/>
      </c>
      <c r="U27" s="101" t="str">
        <f t="shared" ca="1" si="0"/>
        <v/>
      </c>
      <c r="V27" s="102" t="str">
        <f t="shared" ca="1" si="1"/>
        <v/>
      </c>
      <c r="W27" s="103" t="str">
        <f t="shared" ca="1" si="2"/>
        <v/>
      </c>
      <c r="X27" s="104" t="str">
        <f t="shared" ca="1" si="3"/>
        <v/>
      </c>
    </row>
    <row r="28" spans="4:24" ht="16.149999999999999" customHeight="1" thickTop="1" thickBot="1" x14ac:dyDescent="0.25">
      <c r="E28" s="807" t="str">
        <f ca="1">$A$1</f>
        <v>EMPLOYMENT</v>
      </c>
      <c r="F28" s="806"/>
      <c r="G28" s="806"/>
      <c r="H28" s="806"/>
      <c r="I28" s="806"/>
      <c r="J28" s="806"/>
      <c r="K28" s="806"/>
      <c r="L28" s="806"/>
      <c r="M28" s="806"/>
      <c r="N28" s="806"/>
      <c r="O28" s="806"/>
      <c r="P28" s="806"/>
      <c r="Q28" s="806"/>
      <c r="R28" s="806"/>
      <c r="S28" s="807" t="str">
        <f>UPPER(TYPE.userselected)</f>
        <v>TOTAL</v>
      </c>
      <c r="T28" s="806"/>
      <c r="U28" s="806"/>
      <c r="V28" s="806"/>
      <c r="W28" s="806"/>
      <c r="X28" s="808"/>
    </row>
    <row r="29" spans="4:24" ht="16.149999999999999" customHeight="1" thickTop="1" thickBot="1" x14ac:dyDescent="0.25">
      <c r="D29" s="84" t="str">
        <f t="shared" ref="D29:D35" ca="1" si="6">"'"&amp;$A$1&amp;"'!"&amp;CELL("address",G29)&amp;":"&amp;CELL("address",OFFSET(G29,0,YEARSINREP-1))</f>
        <v>'EMPLOYMENT'!$G$29:$K$29</v>
      </c>
      <c r="E29" s="982" t="s">
        <v>122</v>
      </c>
      <c r="F29" s="983"/>
      <c r="G29" s="81">
        <f t="array" ref="G29:R29">TRANSPOSE(REP.yearsrange)</f>
        <v>2009</v>
      </c>
      <c r="H29" s="81">
        <v>2010</v>
      </c>
      <c r="I29" s="82">
        <v>2011</v>
      </c>
      <c r="J29" s="82">
        <v>2012</v>
      </c>
      <c r="K29" s="82">
        <v>2013</v>
      </c>
      <c r="L29" s="82">
        <v>0</v>
      </c>
      <c r="M29" s="82">
        <v>0</v>
      </c>
      <c r="N29" s="82">
        <v>0</v>
      </c>
      <c r="O29" s="82">
        <v>0</v>
      </c>
      <c r="P29" s="82">
        <v>0</v>
      </c>
      <c r="Q29" s="82">
        <v>0</v>
      </c>
      <c r="R29" s="82">
        <v>0</v>
      </c>
      <c r="S29" s="85"/>
      <c r="T29" s="86"/>
      <c r="U29" s="86"/>
      <c r="V29" s="86"/>
      <c r="W29" s="86"/>
      <c r="X29" s="86"/>
    </row>
    <row r="30" spans="4:24" ht="16.149999999999999" customHeight="1" thickTop="1" thickBot="1" x14ac:dyDescent="0.25">
      <c r="D30" s="84" t="str">
        <f t="shared" ca="1" si="6"/>
        <v>'EMPLOYMENT'!$G$30:$K$30</v>
      </c>
      <c r="E30" s="69" t="str">
        <f>IF(TYPE.userselected="SFR",TYPE.userselected,PROPER(VISTYPE.short))</f>
        <v>Total</v>
      </c>
      <c r="F30" s="42" t="str">
        <f>$F$16</f>
        <v>FTEs</v>
      </c>
      <c r="G30" s="98">
        <f t="array" ref="G30:R30" ca="1">EMP.SHARE_VT_ANN</f>
        <v>2671.3198065491024</v>
      </c>
      <c r="H30" s="98">
        <f ca="1"/>
        <v>2670.8951771999168</v>
      </c>
      <c r="I30" s="98">
        <f ca="1"/>
        <v>2577.7051330017935</v>
      </c>
      <c r="J30" s="98">
        <f ca="1"/>
        <v>2586.9651405550908</v>
      </c>
      <c r="K30" s="98">
        <f ca="1"/>
        <v>2680.4146422707395</v>
      </c>
      <c r="L30" s="98" t="str">
        <f ca="1"/>
        <v/>
      </c>
      <c r="M30" s="98" t="str">
        <f ca="1"/>
        <v/>
      </c>
      <c r="N30" s="98" t="str">
        <f ca="1"/>
        <v/>
      </c>
      <c r="O30" s="98" t="str">
        <f ca="1"/>
        <v/>
      </c>
      <c r="P30" s="98" t="str">
        <f ca="1"/>
        <v/>
      </c>
      <c r="Q30" s="98" t="str">
        <f ca="1"/>
        <v/>
      </c>
      <c r="R30" s="98" t="str">
        <f ca="1"/>
        <v/>
      </c>
      <c r="S30" s="96"/>
      <c r="T30" s="86"/>
      <c r="U30" s="86"/>
      <c r="V30" s="86"/>
      <c r="W30" s="86"/>
      <c r="X30" s="86"/>
    </row>
    <row r="31" spans="4:24" ht="16.149999999999999" customHeight="1" thickTop="1" thickBot="1" x14ac:dyDescent="0.25">
      <c r="D31" s="84" t="str">
        <f t="shared" ca="1" si="6"/>
        <v>'EMPLOYMENT'!$G$31:$K$31</v>
      </c>
      <c r="E31" s="69" t="s">
        <v>76</v>
      </c>
      <c r="F31" s="42" t="str">
        <f>$F$16</f>
        <v>FTEs</v>
      </c>
      <c r="G31" s="99">
        <f t="array" aca="1" ref="G31:R31" ca="1">IFERROR(INDEX(DATA!T:T,MATCH(TRANSPOSE(REP.yearsrange)&amp;"."&amp;$A$1&amp;"."&amp;TOTAL,REP.lookup,0)),"")</f>
        <v>2671.3198065491024</v>
      </c>
      <c r="H31" s="99">
        <f ca="1"/>
        <v>2670.8951771999168</v>
      </c>
      <c r="I31" s="99">
        <f ca="1"/>
        <v>2577.7051330017935</v>
      </c>
      <c r="J31" s="99">
        <f ca="1"/>
        <v>2586.9651405550908</v>
      </c>
      <c r="K31" s="99">
        <f ca="1"/>
        <v>2680.4146422707395</v>
      </c>
      <c r="L31" s="99" t="str">
        <f ca="1"/>
        <v/>
      </c>
      <c r="M31" s="99" t="str">
        <f ca="1"/>
        <v/>
      </c>
      <c r="N31" s="99" t="str">
        <f ca="1"/>
        <v/>
      </c>
      <c r="O31" s="99" t="str">
        <f ca="1"/>
        <v/>
      </c>
      <c r="P31" s="99" t="str">
        <f ca="1"/>
        <v/>
      </c>
      <c r="Q31" s="99" t="str">
        <f ca="1"/>
        <v/>
      </c>
      <c r="R31" s="99" t="str">
        <f ca="1"/>
        <v/>
      </c>
      <c r="S31" s="97"/>
      <c r="T31" s="86"/>
      <c r="U31" s="86"/>
      <c r="V31" s="86"/>
      <c r="W31" s="86"/>
      <c r="X31" s="86"/>
    </row>
    <row r="32" spans="4:24" ht="16.149999999999999" customHeight="1" thickTop="1" thickBot="1" x14ac:dyDescent="0.25">
      <c r="D32" s="84" t="str">
        <f t="shared" ca="1" si="6"/>
        <v>'EMPLOYMENT'!$G$32:$K$32</v>
      </c>
      <c r="E32" s="69" t="s">
        <v>123</v>
      </c>
      <c r="F32" s="42" t="s">
        <v>119</v>
      </c>
      <c r="G32" s="78">
        <f t="array" ref="G32:R32" ca="1">IFERROR(EMP.SHARE_VT_ANN/EMP.SHARE_TOTAL_ANN,"")</f>
        <v>1</v>
      </c>
      <c r="H32" s="78">
        <f ca="1"/>
        <v>1</v>
      </c>
      <c r="I32" s="78">
        <f ca="1"/>
        <v>1</v>
      </c>
      <c r="J32" s="78">
        <f ca="1"/>
        <v>1</v>
      </c>
      <c r="K32" s="78">
        <f ca="1"/>
        <v>1</v>
      </c>
      <c r="L32" s="78" t="str">
        <f ca="1"/>
        <v/>
      </c>
      <c r="M32" s="78" t="str">
        <f ca="1"/>
        <v/>
      </c>
      <c r="N32" s="78" t="str">
        <f ca="1"/>
        <v/>
      </c>
      <c r="O32" s="78" t="str">
        <f ca="1"/>
        <v/>
      </c>
      <c r="P32" s="78" t="str">
        <f ca="1"/>
        <v/>
      </c>
      <c r="Q32" s="78" t="str">
        <f ca="1"/>
        <v/>
      </c>
      <c r="R32" s="78" t="str">
        <f ca="1"/>
        <v/>
      </c>
      <c r="S32" s="86"/>
      <c r="T32" s="86"/>
      <c r="U32" s="86"/>
      <c r="V32" s="86"/>
      <c r="W32" s="86"/>
      <c r="X32" s="86"/>
    </row>
    <row r="33" spans="4:24" ht="16.149999999999999" customHeight="1" thickTop="1" thickBot="1" x14ac:dyDescent="0.25">
      <c r="D33" s="84" t="str">
        <f t="shared" ca="1" si="6"/>
        <v>'EMPLOYMENT'!$G$33:$K$33</v>
      </c>
      <c r="E33" s="69" t="s">
        <v>124</v>
      </c>
      <c r="F33" s="42" t="s">
        <v>119</v>
      </c>
      <c r="G33" s="44">
        <f ca="1">G32/G32-1</f>
        <v>0</v>
      </c>
      <c r="H33" s="78">
        <f ca="1">IFERROR(H32/G32-1,"")</f>
        <v>0</v>
      </c>
      <c r="I33" s="78">
        <f t="shared" ref="I33:R33" ca="1" si="7">IFERROR(I32/H32-1,"")</f>
        <v>0</v>
      </c>
      <c r="J33" s="78">
        <f t="shared" ca="1" si="7"/>
        <v>0</v>
      </c>
      <c r="K33" s="78">
        <f t="shared" ca="1" si="7"/>
        <v>0</v>
      </c>
      <c r="L33" s="78" t="str">
        <f t="shared" ca="1" si="7"/>
        <v/>
      </c>
      <c r="M33" s="78" t="str">
        <f t="shared" ca="1" si="7"/>
        <v/>
      </c>
      <c r="N33" s="78" t="str">
        <f t="shared" ca="1" si="7"/>
        <v/>
      </c>
      <c r="O33" s="78" t="str">
        <f t="shared" ca="1" si="7"/>
        <v/>
      </c>
      <c r="P33" s="78" t="str">
        <f t="shared" ca="1" si="7"/>
        <v/>
      </c>
      <c r="Q33" s="78" t="str">
        <f t="shared" ca="1" si="7"/>
        <v/>
      </c>
      <c r="R33" s="78" t="str">
        <f t="shared" ca="1" si="7"/>
        <v/>
      </c>
      <c r="S33" s="86"/>
      <c r="T33" s="86"/>
      <c r="U33" s="86"/>
      <c r="V33" s="86"/>
      <c r="W33" s="86"/>
      <c r="X33" s="86"/>
    </row>
    <row r="34" spans="4:24" ht="16.149999999999999" customHeight="1" thickTop="1" thickBot="1" x14ac:dyDescent="0.25">
      <c r="D34" s="84" t="str">
        <f t="shared" ca="1" si="6"/>
        <v>'EMPLOYMENT'!$G$34:$K$34</v>
      </c>
      <c r="E34" s="69" t="str">
        <f>"Change in Share from "&amp;MIN(REP.yearsrange)</f>
        <v>Change in Share from 2009</v>
      </c>
      <c r="F34" s="42" t="s">
        <v>119</v>
      </c>
      <c r="G34" s="44">
        <f ca="1">G32/$G$32-1</f>
        <v>0</v>
      </c>
      <c r="H34" s="78">
        <f t="shared" ref="H34:R34" ca="1" si="8">IFERROR(H32/$G$32-1,"")</f>
        <v>0</v>
      </c>
      <c r="I34" s="78">
        <f t="shared" ca="1" si="8"/>
        <v>0</v>
      </c>
      <c r="J34" s="78">
        <f t="shared" ca="1" si="8"/>
        <v>0</v>
      </c>
      <c r="K34" s="78">
        <f t="shared" ca="1" si="8"/>
        <v>0</v>
      </c>
      <c r="L34" s="78" t="str">
        <f t="shared" ca="1" si="8"/>
        <v/>
      </c>
      <c r="M34" s="78" t="str">
        <f t="shared" ca="1" si="8"/>
        <v/>
      </c>
      <c r="N34" s="78" t="str">
        <f t="shared" ca="1" si="8"/>
        <v/>
      </c>
      <c r="O34" s="78" t="str">
        <f t="shared" ca="1" si="8"/>
        <v/>
      </c>
      <c r="P34" s="78" t="str">
        <f t="shared" ca="1" si="8"/>
        <v/>
      </c>
      <c r="Q34" s="78" t="str">
        <f t="shared" ca="1" si="8"/>
        <v/>
      </c>
      <c r="R34" s="78" t="str">
        <f t="shared" ca="1" si="8"/>
        <v/>
      </c>
      <c r="S34" s="86"/>
      <c r="T34" s="86"/>
      <c r="U34" s="86"/>
      <c r="V34" s="86"/>
      <c r="W34" s="86"/>
      <c r="X34" s="86"/>
    </row>
    <row r="35" spans="4:24" ht="16.149999999999999" customHeight="1" thickTop="1" thickBot="1" x14ac:dyDescent="0.25">
      <c r="D35" s="84" t="str">
        <f t="shared" ca="1" si="6"/>
        <v>'EMPLOYMENT'!$G$35:$K$35</v>
      </c>
      <c r="E35" s="69" t="s">
        <v>149</v>
      </c>
      <c r="F35" s="42" t="s">
        <v>119</v>
      </c>
      <c r="G35" s="44" t="str">
        <f ca="1">IFERROR(G34/(COUNT($G29:G29)-1),"")</f>
        <v/>
      </c>
      <c r="H35" s="78">
        <f ca="1">IFERROR(H34/(COUNT($G29:H29)-1),"")</f>
        <v>0</v>
      </c>
      <c r="I35" s="78">
        <f ca="1">IFERROR(I34/(COUNT($G29:I29)-1),"")</f>
        <v>0</v>
      </c>
      <c r="J35" s="78">
        <f ca="1">IFERROR(J34/(COUNT($G29:J29)-1),"")</f>
        <v>0</v>
      </c>
      <c r="K35" s="78">
        <f ca="1">IFERROR(K34/(COUNT($G29:K29)-1),"")</f>
        <v>0</v>
      </c>
      <c r="L35" s="78" t="str">
        <f ca="1">IFERROR(L34/(COUNT($G29:L29)-1),"")</f>
        <v/>
      </c>
      <c r="M35" s="78" t="str">
        <f ca="1">IFERROR(M34/(COUNT($G29:M29)-1),"")</f>
        <v/>
      </c>
      <c r="N35" s="78" t="str">
        <f ca="1">IFERROR(N34/(COUNT($G29:N29)-1),"")</f>
        <v/>
      </c>
      <c r="O35" s="78" t="str">
        <f ca="1">IFERROR(O34/(COUNT($G29:O29)-1),"")</f>
        <v/>
      </c>
      <c r="P35" s="78" t="str">
        <f ca="1">IFERROR(P34/(COUNT($G29:P29)-1),"")</f>
        <v/>
      </c>
      <c r="Q35" s="78" t="str">
        <f ca="1">IFERROR(Q34/(COUNT($G29:Q29)-1),"")</f>
        <v/>
      </c>
      <c r="R35" s="78" t="str">
        <f ca="1">IFERROR(R34/(COUNT($G29:R29)-1),"")</f>
        <v/>
      </c>
      <c r="S35" s="86"/>
      <c r="T35" s="86"/>
      <c r="U35" s="86"/>
      <c r="V35" s="86"/>
      <c r="W35" s="86"/>
      <c r="X35" s="86"/>
    </row>
    <row r="36" spans="4:24" ht="16.149999999999999" customHeight="1" thickTop="1" thickBot="1" x14ac:dyDescent="0.25">
      <c r="D36" s="84"/>
      <c r="E36" s="671"/>
      <c r="F36" s="672"/>
      <c r="G36" s="44"/>
      <c r="H36" s="78"/>
      <c r="I36" s="78"/>
      <c r="J36" s="78"/>
      <c r="K36" s="78"/>
      <c r="L36" s="78"/>
      <c r="M36" s="78"/>
      <c r="N36" s="78"/>
      <c r="O36" s="78"/>
      <c r="P36" s="78"/>
      <c r="Q36" s="78"/>
      <c r="R36" s="78"/>
      <c r="S36" s="86"/>
      <c r="T36" s="86"/>
      <c r="U36" s="86"/>
      <c r="V36" s="86"/>
      <c r="W36" s="86"/>
      <c r="X36" s="86"/>
    </row>
    <row r="37" spans="4:24" ht="16.149999999999999" customHeight="1" thickTop="1" thickBot="1" x14ac:dyDescent="0.25">
      <c r="E37" s="94"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92"/>
      <c r="G37" s="92"/>
      <c r="H37" s="92"/>
      <c r="I37" s="92"/>
      <c r="J37" s="92"/>
      <c r="K37" s="92"/>
      <c r="L37" s="92"/>
      <c r="M37" s="92"/>
      <c r="N37" s="92"/>
      <c r="O37" s="92"/>
      <c r="P37" s="92"/>
      <c r="Q37" s="92"/>
      <c r="R37" s="92"/>
      <c r="S37" s="86"/>
      <c r="T37" s="86"/>
      <c r="U37" s="86"/>
      <c r="V37" s="86"/>
      <c r="W37" s="86"/>
      <c r="X37" s="86"/>
    </row>
    <row r="38" spans="4:24" s="48" customFormat="1" ht="16.149999999999999" customHeight="1" thickTop="1" thickBot="1" x14ac:dyDescent="0.2">
      <c r="D38" s="47"/>
      <c r="E38" s="68" t="str">
        <f>REP.footer1</f>
        <v>This report is copyright © Global Tourism Solutions (UK) Ltd 2014</v>
      </c>
      <c r="F38" s="62"/>
      <c r="G38" s="62"/>
      <c r="H38" s="62"/>
      <c r="I38" s="62"/>
      <c r="J38" s="62"/>
      <c r="K38" s="62"/>
      <c r="L38" s="62"/>
      <c r="M38" s="62"/>
      <c r="N38" s="62"/>
      <c r="O38" s="62"/>
      <c r="P38" s="62"/>
      <c r="Q38" s="62"/>
      <c r="R38" s="62"/>
      <c r="S38" s="62"/>
      <c r="T38" s="62"/>
      <c r="U38" s="62"/>
      <c r="V38" s="62"/>
      <c r="W38" s="62"/>
      <c r="X38" s="67" t="str">
        <f>REP.footer2</f>
        <v>Report Prepared by: Alison Tipler. Date of Issue: 11/04/14</v>
      </c>
    </row>
    <row r="39" spans="4:24" ht="16.149999999999999" customHeight="1" thickTop="1" x14ac:dyDescent="0.2"/>
    <row r="40" spans="4:24" ht="16.149999999999999" customHeight="1" x14ac:dyDescent="0.2">
      <c r="G40" s="83"/>
      <c r="H40" s="83"/>
      <c r="I40" s="83"/>
      <c r="J40" s="83"/>
      <c r="K40" s="83"/>
      <c r="L40" s="83"/>
      <c r="M40" s="83"/>
      <c r="N40" s="83"/>
      <c r="O40" s="83"/>
      <c r="P40" s="83"/>
      <c r="Q40" s="83"/>
      <c r="R40" s="83"/>
      <c r="S40" s="83"/>
      <c r="T40" s="83"/>
      <c r="U40" s="83"/>
      <c r="V40" s="83"/>
    </row>
    <row r="41" spans="4:24" ht="16.149999999999999" customHeight="1" x14ac:dyDescent="0.2">
      <c r="G41" s="83"/>
      <c r="H41" s="83"/>
      <c r="I41" s="83"/>
      <c r="J41" s="83"/>
      <c r="K41" s="83"/>
      <c r="L41" s="83"/>
      <c r="M41" s="83"/>
      <c r="N41" s="83"/>
      <c r="O41" s="83"/>
      <c r="P41" s="83"/>
      <c r="Q41" s="83"/>
      <c r="R41" s="83"/>
      <c r="S41" s="83"/>
      <c r="T41" s="83"/>
      <c r="U41" s="83"/>
      <c r="V41" s="83"/>
    </row>
    <row r="70" spans="7:23" ht="16.149999999999999" customHeight="1" x14ac:dyDescent="0.2">
      <c r="G70" s="45" t="s">
        <v>44</v>
      </c>
      <c r="H70" s="45" t="s">
        <v>44</v>
      </c>
      <c r="J70" s="45" t="s">
        <v>49</v>
      </c>
      <c r="K70" s="45" t="s">
        <v>49</v>
      </c>
      <c r="M70" s="45" t="s">
        <v>19</v>
      </c>
      <c r="N70" s="45" t="s">
        <v>19</v>
      </c>
      <c r="P70" s="45" t="s">
        <v>97</v>
      </c>
      <c r="S70" s="45" t="s">
        <v>73</v>
      </c>
      <c r="T70" s="45" t="s">
        <v>73</v>
      </c>
      <c r="V70" s="45" t="s">
        <v>55</v>
      </c>
      <c r="W70" s="45" t="s">
        <v>55</v>
      </c>
    </row>
  </sheetData>
  <sheetProtection algorithmName="SHA-512" hashValue="guNd5417j9lyWep7oMEuMMDbSOtHSAYLEuhZXtL2w4tbIK/uMzZy/uVlKDdCm1sgXC2RKkykp8Mcjc7+s5C2mg==" saltValue="bt329/k6cx7Lm/Aynbl40w==" spinCount="100000" sheet="1" objects="1" scenarios="1"/>
  <mergeCells count="26">
    <mergeCell ref="E15:F15"/>
    <mergeCell ref="S6:T7"/>
    <mergeCell ref="U6:X7"/>
    <mergeCell ref="E8:F8"/>
    <mergeCell ref="G8:R8"/>
    <mergeCell ref="S8:T9"/>
    <mergeCell ref="U8:X11"/>
    <mergeCell ref="E9:F9"/>
    <mergeCell ref="G9:R9"/>
    <mergeCell ref="P6:R7"/>
    <mergeCell ref="E28:R28"/>
    <mergeCell ref="S28:X28"/>
    <mergeCell ref="E29:F29"/>
    <mergeCell ref="E10:F10"/>
    <mergeCell ref="G10:R10"/>
    <mergeCell ref="S10:S12"/>
    <mergeCell ref="T10:T12"/>
    <mergeCell ref="E11:F11"/>
    <mergeCell ref="G11:I11"/>
    <mergeCell ref="J11:L11"/>
    <mergeCell ref="M11:O11"/>
    <mergeCell ref="P11:R11"/>
    <mergeCell ref="E12:F12"/>
    <mergeCell ref="E13:F13"/>
    <mergeCell ref="T13:T16"/>
    <mergeCell ref="E14:F14"/>
  </mergeCells>
  <conditionalFormatting sqref="I29:Q29">
    <cfRule type="expression" dxfId="52" priority="40">
      <formula>I29=0</formula>
    </cfRule>
  </conditionalFormatting>
  <conditionalFormatting sqref="G33:Q34">
    <cfRule type="cellIs" dxfId="51" priority="38" operator="lessThanOrEqual">
      <formula>-REP.percenthighlight</formula>
    </cfRule>
    <cfRule type="cellIs" dxfId="50" priority="39" operator="greaterThanOrEqual">
      <formula>REP.percenthighlight</formula>
    </cfRule>
  </conditionalFormatting>
  <conditionalFormatting sqref="H35:Q36 G30:Q34">
    <cfRule type="expression" dxfId="49" priority="35" stopIfTrue="1">
      <formula>G$29=0</formula>
    </cfRule>
  </conditionalFormatting>
  <conditionalFormatting sqref="H35:Q36">
    <cfRule type="cellIs" dxfId="48" priority="36" operator="lessThanOrEqual">
      <formula>-REP.percenthighlight</formula>
    </cfRule>
    <cfRule type="cellIs" dxfId="47" priority="37" operator="greaterThanOrEqual">
      <formula>REP.percenthighlight</formula>
    </cfRule>
  </conditionalFormatting>
  <conditionalFormatting sqref="F30:F36">
    <cfRule type="expression" dxfId="46" priority="34">
      <formula>$E30=0</formula>
    </cfRule>
  </conditionalFormatting>
  <conditionalFormatting sqref="R29">
    <cfRule type="expression" dxfId="45" priority="32">
      <formula>R29=0</formula>
    </cfRule>
  </conditionalFormatting>
  <conditionalFormatting sqref="R33:R34">
    <cfRule type="cellIs" dxfId="44" priority="30" operator="lessThanOrEqual">
      <formula>-REP.percenthighlight</formula>
    </cfRule>
    <cfRule type="cellIs" dxfId="43" priority="31" operator="greaterThanOrEqual">
      <formula>REP.percenthighlight</formula>
    </cfRule>
  </conditionalFormatting>
  <conditionalFormatting sqref="R30:R36">
    <cfRule type="expression" dxfId="42" priority="27" stopIfTrue="1">
      <formula>R$29=0</formula>
    </cfRule>
  </conditionalFormatting>
  <conditionalFormatting sqref="R35:R36">
    <cfRule type="cellIs" dxfId="41" priority="28" operator="lessThanOrEqual">
      <formula>-REP.percenthighlight</formula>
    </cfRule>
    <cfRule type="cellIs" dxfId="40" priority="29" operator="greaterThanOrEqual">
      <formula>REP.percenthighlight</formula>
    </cfRule>
  </conditionalFormatting>
  <conditionalFormatting sqref="T17:T27">
    <cfRule type="cellIs" dxfId="39" priority="25" operator="greaterThanOrEqual">
      <formula>REP.percenthighlight</formula>
    </cfRule>
    <cfRule type="cellIs" dxfId="38" priority="26" operator="lessThanOrEqual">
      <formula>-REP.percenthighlight</formula>
    </cfRule>
  </conditionalFormatting>
  <conditionalFormatting sqref="G13:S15">
    <cfRule type="cellIs" dxfId="37" priority="23" operator="lessThanOrEqual">
      <formula>-REP.percenthighlight</formula>
    </cfRule>
    <cfRule type="cellIs" dxfId="36" priority="24" operator="greaterThanOrEqual">
      <formula>REP.percenthighlight</formula>
    </cfRule>
  </conditionalFormatting>
  <conditionalFormatting sqref="U13:X15">
    <cfRule type="cellIs" dxfId="35" priority="21" operator="lessThanOrEqual">
      <formula>-REP.percenthighlight</formula>
    </cfRule>
    <cfRule type="cellIs" dxfId="34" priority="22" operator="greaterThanOrEqual">
      <formula>REP.percenthighlight</formula>
    </cfRule>
  </conditionalFormatting>
  <conditionalFormatting sqref="E16:X27">
    <cfRule type="expression" dxfId="33" priority="20">
      <formula>$E16=0</formula>
    </cfRule>
  </conditionalFormatting>
  <conditionalFormatting sqref="S6:T7">
    <cfRule type="expression" dxfId="32" priority="13">
      <formula>TYPE.no=6</formula>
    </cfRule>
    <cfRule type="expression" dxfId="31" priority="14">
      <formula>TYPE.no=5</formula>
    </cfRule>
    <cfRule type="expression" dxfId="30" priority="15">
      <formula>TYPE.no=4</formula>
    </cfRule>
    <cfRule type="expression" dxfId="29" priority="16">
      <formula>TYPE.no=3</formula>
    </cfRule>
    <cfRule type="expression" dxfId="28" priority="17">
      <formula>TYPE.no=2</formula>
    </cfRule>
    <cfRule type="expression" dxfId="27" priority="18">
      <formula>TYPE.no=1</formula>
    </cfRule>
  </conditionalFormatting>
  <conditionalFormatting sqref="G9:R9">
    <cfRule type="expression" dxfId="26" priority="7">
      <formula>TYPE.no=6</formula>
    </cfRule>
    <cfRule type="expression" dxfId="25" priority="8">
      <formula>TYPE.no=5</formula>
    </cfRule>
    <cfRule type="expression" dxfId="24" priority="9">
      <formula>TYPE.no=4</formula>
    </cfRule>
    <cfRule type="expression" dxfId="23" priority="10">
      <formula>TYPE.no=3</formula>
    </cfRule>
    <cfRule type="expression" dxfId="22" priority="11">
      <formula>TYPE.no=2</formula>
    </cfRule>
    <cfRule type="expression" dxfId="21" priority="12">
      <formula>TYPE.no=1</formula>
    </cfRule>
  </conditionalFormatting>
  <conditionalFormatting sqref="S28:X28">
    <cfRule type="expression" dxfId="20" priority="1">
      <formula>TYPE.no=6</formula>
    </cfRule>
    <cfRule type="expression" dxfId="19" priority="2">
      <formula>TYPE.no=5</formula>
    </cfRule>
    <cfRule type="expression" dxfId="18" priority="3">
      <formula>TYPE.no=4</formula>
    </cfRule>
    <cfRule type="expression" dxfId="17" priority="4">
      <formula>TYPE.no=3</formula>
    </cfRule>
    <cfRule type="expression" dxfId="16" priority="5">
      <formula>TYPE.no=2</formula>
    </cfRule>
    <cfRule type="expression" dxfId="15" priority="6">
      <formula>TYPE.no=1</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9811" r:id="rId4" name="Drop Down 3">
              <controlPr defaultSize="0" autoLine="0" autoPict="0">
                <anchor moveWithCells="1">
                  <from>
                    <xdr:col>21</xdr:col>
                    <xdr:colOff>171450</xdr:colOff>
                    <xdr:row>4</xdr:row>
                    <xdr:rowOff>19050</xdr:rowOff>
                  </from>
                  <to>
                    <xdr:col>22</xdr:col>
                    <xdr:colOff>257175</xdr:colOff>
                    <xdr:row>4</xdr:row>
                    <xdr:rowOff>295275</xdr:rowOff>
                  </to>
                </anchor>
              </controlPr>
            </control>
          </mc:Choice>
        </mc:AlternateContent>
        <mc:AlternateContent xmlns:mc="http://schemas.openxmlformats.org/markup-compatibility/2006">
          <mc:Choice Requires="x14">
            <control shapeId="119812" r:id="rId5" name="Drop Down 4">
              <controlPr defaultSize="0" autoLine="0" autoPict="0">
                <anchor moveWithCells="1">
                  <from>
                    <xdr:col>9</xdr:col>
                    <xdr:colOff>171450</xdr:colOff>
                    <xdr:row>4</xdr:row>
                    <xdr:rowOff>19050</xdr:rowOff>
                  </from>
                  <to>
                    <xdr:col>13</xdr:col>
                    <xdr:colOff>142875</xdr:colOff>
                    <xdr:row>4</xdr:row>
                    <xdr:rowOff>295275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10">
    <tabColor theme="6" tint="-0.499984740745262"/>
    <outlinePr showOutlineSymbols="0"/>
    <pageSetUpPr autoPageBreaks="0" fitToPage="1"/>
  </sheetPr>
  <dimension ref="A1:AB70"/>
  <sheetViews>
    <sheetView showGridLines="0" showRowColHeaders="0" showZeros="0"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27" width="5.7109375" style="118" customWidth="1"/>
    <col min="28" max="28" width="7.7109375" style="118" customWidth="1"/>
    <col min="29" max="16384" width="4.85546875" style="118"/>
  </cols>
  <sheetData>
    <row r="1" spans="1:28" ht="16.149999999999999" hidden="1" customHeight="1" thickTop="1" thickBot="1" x14ac:dyDescent="0.25">
      <c r="A1" s="117" t="str">
        <f ca="1">MID(CELL("filename",A1),FIND("]",CELL("filename",A1))+1,255)</f>
        <v>ACCOMMODATION SUPPLY</v>
      </c>
      <c r="E1" s="120"/>
      <c r="F1" s="121"/>
      <c r="G1" s="121"/>
      <c r="H1" s="121"/>
      <c r="I1" s="121"/>
      <c r="J1" s="121"/>
      <c r="K1" s="121"/>
      <c r="L1" s="121"/>
      <c r="M1" s="121"/>
      <c r="N1" s="121"/>
      <c r="O1" s="121"/>
      <c r="P1" s="121"/>
      <c r="Q1" s="121"/>
      <c r="R1" s="121"/>
      <c r="S1" s="121"/>
      <c r="T1" s="121"/>
      <c r="U1" s="121"/>
      <c r="V1" s="121"/>
      <c r="W1" s="121"/>
      <c r="X1" s="122"/>
    </row>
    <row r="2" spans="1:28"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8" ht="26.45" customHeight="1" x14ac:dyDescent="0.2">
      <c r="E3" s="126"/>
      <c r="F3" s="127"/>
      <c r="G3" s="127"/>
      <c r="H3" s="127"/>
      <c r="I3" s="127"/>
      <c r="J3" s="127"/>
      <c r="K3" s="127"/>
      <c r="L3" s="127"/>
      <c r="M3" s="127"/>
      <c r="N3" s="127"/>
      <c r="O3" s="127"/>
      <c r="P3" s="127"/>
      <c r="Q3" s="127"/>
      <c r="R3" s="127"/>
      <c r="S3" s="127"/>
      <c r="T3" s="127"/>
      <c r="U3" s="127"/>
      <c r="V3" s="127"/>
      <c r="W3" s="127"/>
      <c r="X3" s="128"/>
    </row>
    <row r="4" spans="1:28" ht="26.45" customHeight="1" x14ac:dyDescent="0.2">
      <c r="E4" s="211"/>
      <c r="F4" s="212"/>
      <c r="G4" s="212"/>
      <c r="H4" s="212"/>
      <c r="I4" s="212"/>
      <c r="J4" s="212"/>
      <c r="K4" s="212"/>
      <c r="L4" s="212"/>
      <c r="M4" s="212"/>
      <c r="N4" s="212"/>
      <c r="O4" s="212"/>
      <c r="P4" s="212"/>
      <c r="Q4" s="212"/>
      <c r="R4" s="212"/>
      <c r="S4" s="212"/>
      <c r="T4" s="212"/>
      <c r="U4" s="212"/>
      <c r="V4" s="212"/>
      <c r="W4" s="212"/>
      <c r="X4" s="213"/>
    </row>
    <row r="5" spans="1:28" ht="26.45" customHeight="1" thickBot="1" x14ac:dyDescent="0.25">
      <c r="E5" s="214"/>
      <c r="F5" s="215"/>
      <c r="G5" s="215"/>
      <c r="H5" s="215"/>
      <c r="I5" s="215"/>
      <c r="J5" s="215"/>
      <c r="K5" s="215"/>
      <c r="L5" s="215"/>
      <c r="M5" s="413" t="str">
        <f>"INDEXATION TO "&amp;MAX(REP.yearsrange)&amp;" PRICES"</f>
        <v>INDEXATION TO 2013 PRICES</v>
      </c>
      <c r="N5" s="215"/>
      <c r="O5" s="215"/>
      <c r="P5" s="215"/>
      <c r="Q5" s="215"/>
      <c r="R5" s="215"/>
      <c r="S5" s="215"/>
      <c r="T5" s="215"/>
      <c r="U5" s="215"/>
      <c r="V5" s="215"/>
      <c r="W5" s="215"/>
      <c r="X5" s="216"/>
    </row>
    <row r="6" spans="1:28" ht="16.149999999999999" customHeight="1" thickTop="1" x14ac:dyDescent="0.2">
      <c r="E6" s="538" t="str">
        <f>REP.title1</f>
        <v>STEAM FINAL TREND REPORT FOR 2009-2013</v>
      </c>
      <c r="F6" s="539"/>
      <c r="G6" s="539"/>
      <c r="H6" s="539"/>
      <c r="I6" s="539"/>
      <c r="J6" s="539"/>
      <c r="K6" s="539"/>
      <c r="L6" s="539"/>
      <c r="M6" s="539"/>
      <c r="N6" s="539"/>
      <c r="O6" s="1040">
        <f>CHARTYEAR</f>
        <v>2013</v>
      </c>
      <c r="P6" s="1041"/>
      <c r="Q6" s="1041"/>
      <c r="R6" s="1042"/>
      <c r="S6" s="1046" t="s">
        <v>177</v>
      </c>
      <c r="T6" s="1047"/>
      <c r="U6" s="1050" t="str">
        <f>"ACCOMMODATION SUPPLY"&amp;CHAR(10)&amp;"DISTRIBUTION BY TYPE"</f>
        <v>ACCOMMODATION SUPPLY
DISTRIBUTION BY TYPE</v>
      </c>
      <c r="V6" s="1051"/>
      <c r="W6" s="1051"/>
      <c r="X6" s="1052"/>
    </row>
    <row r="7" spans="1:28" ht="16.149999999999999" customHeight="1" thickBot="1" x14ac:dyDescent="0.25">
      <c r="E7" s="540" t="str">
        <f>REP.title2</f>
        <v>MORAY HIE</v>
      </c>
      <c r="F7" s="541"/>
      <c r="G7" s="541"/>
      <c r="H7" s="541"/>
      <c r="I7" s="542"/>
      <c r="J7" s="542"/>
      <c r="K7" s="542"/>
      <c r="L7" s="542"/>
      <c r="M7" s="542"/>
      <c r="N7" s="542"/>
      <c r="O7" s="1043"/>
      <c r="P7" s="1044"/>
      <c r="Q7" s="1044"/>
      <c r="R7" s="1045"/>
      <c r="S7" s="1048"/>
      <c r="T7" s="1049"/>
      <c r="U7" s="1053"/>
      <c r="V7" s="1054"/>
      <c r="W7" s="1054"/>
      <c r="X7" s="1055"/>
    </row>
    <row r="8" spans="1:28" ht="16.149999999999999" customHeight="1" thickTop="1" thickBot="1" x14ac:dyDescent="0.25">
      <c r="E8" s="686" t="s">
        <v>44</v>
      </c>
      <c r="F8" s="687"/>
      <c r="G8" s="687"/>
      <c r="H8" s="687"/>
      <c r="I8" s="687"/>
      <c r="J8" s="687"/>
      <c r="K8" s="687"/>
      <c r="L8" s="688" t="str">
        <f ca="1">L9</f>
        <v>'ACCOMMODATION SUPPLY'!$L$10:$L$14</v>
      </c>
      <c r="M8" s="687"/>
      <c r="N8" s="687"/>
      <c r="O8" s="687"/>
      <c r="P8" s="687"/>
      <c r="Q8" s="687"/>
      <c r="R8" s="687"/>
      <c r="S8" s="687"/>
      <c r="T8" s="687"/>
      <c r="U8" s="687"/>
      <c r="V8" s="687"/>
      <c r="W8" s="687"/>
      <c r="X8" s="689"/>
      <c r="Y8" s="247"/>
    </row>
    <row r="9" spans="1:28" s="132" customFormat="1" ht="16.149999999999999" customHeight="1" thickTop="1" thickBot="1" x14ac:dyDescent="0.25">
      <c r="E9" s="690"/>
      <c r="F9" s="430"/>
      <c r="G9" s="419"/>
      <c r="H9" s="430" t="str">
        <f ca="1">IF(J10=0,"'"&amp;$A$1&amp;"'!"&amp;CELL("address",H11)&amp;":"&amp;CELL("address",OFFSET(H11,COUNT($J$10:$J$14)-1,0))&amp;";"&amp;CELL("address",H15),"'"&amp;$A$1&amp;"'!"&amp;CELL("address",H10)&amp;":"&amp;CELL("address",OFFSET(H10,COUNT($J$10:$J$14)-1,0))&amp;";"&amp;CELL("address",H15))</f>
        <v>'ACCOMMODATION SUPPLY'!$H$10:$H$13;$H$15</v>
      </c>
      <c r="I9" s="430" t="str">
        <f t="shared" ref="I9:J9" ca="1" si="0">"'"&amp;$A$1&amp;"'!"&amp;CELL("address",I10)&amp;":"&amp;CELL("address",OFFSET(I10,COUNT($J$10:$J$14)-1,0))&amp;";"&amp;CELL("address",I15)</f>
        <v>'ACCOMMODATION SUPPLY'!$I$10:$I$13;$I$15</v>
      </c>
      <c r="J9" s="430" t="str">
        <f t="shared" ca="1" si="0"/>
        <v>'ACCOMMODATION SUPPLY'!$J$10:$J$13;$J$15</v>
      </c>
      <c r="K9" s="430" t="s">
        <v>174</v>
      </c>
      <c r="L9" s="691" t="str">
        <f ca="1">"'"&amp;$A$1&amp;"'!"&amp;ADDRESS(MATCH("SA",$K$1:$K$100,0),COLUMN(L$9),,,)&amp;":"&amp;IFERROR(ADDRESS(MATCH("SAT",$K$1:$K$100,0),COLUMN(L$9),,,),ADDRESS(MATCH("SA",$K$1:$K$100,0),COLUMN(L$9),,,))</f>
        <v>'ACCOMMODATION SUPPLY'!$L$10:$L$14</v>
      </c>
      <c r="M9" s="691" t="str">
        <f t="shared" ref="M9:O9" ca="1" si="1">"'"&amp;$A$1&amp;"'!"&amp;ADDRESS(MATCH("SA",$K$1:$K$100,0),COLUMN(M$9),,,)&amp;":"&amp;IFERROR(ADDRESS(MATCH("SAT",$K$1:$K$100,0),COLUMN(M$9),,,),ADDRESS(MATCH("SA",$K$1:$K$100,0),COLUMN(M$9),,,))</f>
        <v>'ACCOMMODATION SUPPLY'!$M$10:$M$14</v>
      </c>
      <c r="N9" s="691" t="str">
        <f t="shared" ca="1" si="1"/>
        <v>'ACCOMMODATION SUPPLY'!$N$10:$N$14</v>
      </c>
      <c r="O9" s="691" t="str">
        <f t="shared" ca="1" si="1"/>
        <v>'ACCOMMODATION SUPPLY'!$O$10:$O$14</v>
      </c>
      <c r="P9" s="430"/>
      <c r="Q9" s="430"/>
      <c r="R9" s="430"/>
      <c r="S9" s="430"/>
      <c r="T9" s="430"/>
      <c r="U9" s="430"/>
      <c r="V9" s="430"/>
      <c r="W9" s="430"/>
      <c r="X9" s="431"/>
      <c r="Y9" s="492"/>
    </row>
    <row r="10" spans="1:28" s="132" customFormat="1" ht="16.149999999999999" customHeight="1" thickTop="1" thickBot="1" x14ac:dyDescent="0.25">
      <c r="E10" s="692" t="str">
        <f>CHARTYEAR&amp;".Accommodation - Establishments.Serviced Accommodation 1"</f>
        <v>2013.Accommodation - Establishments.Serviced Accommodation 1</v>
      </c>
      <c r="F10" s="692" t="str">
        <f>CHARTYEAR&amp;".Accommodation - Bed Spaces.Serviced Accommodation 1"</f>
        <v>2013.Accommodation - Bed Spaces.Serviced Accommodation 1</v>
      </c>
      <c r="G10" s="693" t="str">
        <f>IF(OR(INDEX(DATA!G:G,MATCH('ACCOMMODATION SUPPLY'!$E10,REP.lookup,0))="",INDEX(DATA!G:G,MATCH('ACCOMMODATION SUPPLY'!$E10,REP.lookup,0))=0),NA(),INDEX(DATA!G:G,MATCH('ACCOMMODATION SUPPLY'!$E10,REP.lookup,0)))</f>
        <v>+50 Room</v>
      </c>
      <c r="H10" s="694">
        <f>IFERROR(IF(OR(INDEX(DATA!T:T,MATCH('ACCOMMODATION SUPPLY'!$E10,REP.lookup,0))="",INDEX(DATA!T:T,MATCH('ACCOMMODATION SUPPLY'!$E10,REP.lookup,0))=0),"",INDEX(DATA!T:T,MATCH('ACCOMMODATION SUPPLY'!$E10,REP.lookup,0))),"")</f>
        <v>2</v>
      </c>
      <c r="I10" s="694">
        <f>IFERROR(H10*-1,NA())</f>
        <v>-2</v>
      </c>
      <c r="J10" s="694">
        <f>IFERROR(IF(OR(INDEX(DATA!T:T,MATCH('ACCOMMODATION SUPPLY'!$F10,REP.lookup,0))="",INDEX(DATA!T:T,MATCH('ACCOMMODATION SUPPLY'!$F10,REP.lookup,0))=0),"",INDEX(DATA!T:T,MATCH('ACCOMMODATION SUPPLY'!$F10,REP.lookup,0))),NA())</f>
        <v>219</v>
      </c>
      <c r="K10" s="694" t="str">
        <f>IF(AND(ISNUMBER(O10),O10&gt;0),IF(ISNUMBER(FIND("Total",$L10)),"SAT","SA"),"")</f>
        <v>SA</v>
      </c>
      <c r="L10" s="694" t="str">
        <f>IF(ISNA(G10),G$15,G10)</f>
        <v>+50 Room</v>
      </c>
      <c r="M10" s="694">
        <f>VLOOKUP($L10,$G$10:$J$21,2,FALSE)</f>
        <v>2</v>
      </c>
      <c r="N10" s="694">
        <f>VLOOKUP($L10,$G$10:$J$21,3,FALSE)</f>
        <v>-2</v>
      </c>
      <c r="O10" s="694">
        <f>VLOOKUP($L10,$G$10:$J$21,4,FALSE)</f>
        <v>219</v>
      </c>
      <c r="P10" s="695">
        <f>O10</f>
        <v>219</v>
      </c>
      <c r="Q10" s="693" t="str">
        <f>ADDRESS(1,1,,,)</f>
        <v>$A$1</v>
      </c>
      <c r="R10" s="150">
        <f>MATCH("SA",K1:K100,0)</f>
        <v>10</v>
      </c>
      <c r="S10" s="152"/>
      <c r="T10" s="152"/>
      <c r="U10" s="150"/>
      <c r="V10" s="150"/>
      <c r="W10" s="150"/>
      <c r="X10" s="433"/>
      <c r="Y10" s="492"/>
      <c r="Z10" s="492"/>
      <c r="AA10" s="491"/>
      <c r="AB10" s="490"/>
    </row>
    <row r="11" spans="1:28" s="132" customFormat="1" ht="16.149999999999999" customHeight="1" thickTop="1" thickBot="1" x14ac:dyDescent="0.25">
      <c r="E11" s="692" t="str">
        <f>CHARTYEAR&amp;".Accommodation - Establishments.Serviced Accommodation 2"</f>
        <v>2013.Accommodation - Establishments.Serviced Accommodation 2</v>
      </c>
      <c r="F11" s="692" t="str">
        <f>CHARTYEAR&amp;".Accommodation - Bed Spaces.Serviced Accommodation 2"</f>
        <v>2013.Accommodation - Bed Spaces.Serviced Accommodation 2</v>
      </c>
      <c r="G11" s="693" t="str">
        <f>IF(OR(INDEX(DATA!G:G,MATCH('ACCOMMODATION SUPPLY'!$E11,REP.lookup,0))="",INDEX(DATA!G:G,MATCH('ACCOMMODATION SUPPLY'!$E11,REP.lookup,0))=0),NA(),INDEX(DATA!G:G,MATCH('ACCOMMODATION SUPPLY'!$E11,REP.lookup,0)))</f>
        <v>26-50 Room</v>
      </c>
      <c r="H11" s="694">
        <f>IFERROR(IF(OR(INDEX(DATA!T:T,MATCH('ACCOMMODATION SUPPLY'!$E11,REP.lookup,0))="",INDEX(DATA!T:T,MATCH('ACCOMMODATION SUPPLY'!$E11,REP.lookup,0))=0),"",INDEX(DATA!T:T,MATCH('ACCOMMODATION SUPPLY'!$E11,REP.lookup,0))),"")</f>
        <v>4</v>
      </c>
      <c r="I11" s="694">
        <f t="shared" ref="I11:I15" si="2">IFERROR(H11*-1,NA())</f>
        <v>-4</v>
      </c>
      <c r="J11" s="694">
        <f>IFERROR(IF(OR(INDEX(DATA!T:T,MATCH('ACCOMMODATION SUPPLY'!$F11,REP.lookup,0))="",INDEX(DATA!T:T,MATCH('ACCOMMODATION SUPPLY'!$F11,REP.lookup,0))=0),"",INDEX(DATA!T:T,MATCH('ACCOMMODATION SUPPLY'!$F11,REP.lookup,0))),NA())</f>
        <v>275</v>
      </c>
      <c r="K11" s="694" t="str">
        <f t="shared" ref="K11:K19" si="3">IF(AND(ISNUMBER(O11),O11&gt;0),IF(ISNUMBER(FIND("Total",$L11)),"SAT","SA"),"")</f>
        <v>SA</v>
      </c>
      <c r="L11" s="694" t="str">
        <f>IF(L10=G$15,NA(),IF(ISNA(G11),G$15,G11))</f>
        <v>26-50 Room</v>
      </c>
      <c r="M11" s="694">
        <f t="shared" ref="M11:M19" si="4">VLOOKUP($L11,$G$10:$J$21,2,FALSE)</f>
        <v>4</v>
      </c>
      <c r="N11" s="694">
        <f t="shared" ref="N11:N19" si="5">VLOOKUP($L11,$G$10:$J$21,3,FALSE)</f>
        <v>-4</v>
      </c>
      <c r="O11" s="694">
        <f t="shared" ref="O11:O19" si="6">VLOOKUP($L11,$G$10:$J$21,4,FALSE)</f>
        <v>275</v>
      </c>
      <c r="P11" s="430"/>
      <c r="Q11" s="693"/>
      <c r="R11" s="150"/>
      <c r="S11" s="152"/>
      <c r="T11" s="152"/>
      <c r="U11" s="150"/>
      <c r="V11" s="150"/>
      <c r="W11" s="150"/>
      <c r="X11" s="433"/>
      <c r="Y11" s="492"/>
      <c r="Z11" s="492"/>
      <c r="AA11" s="491"/>
      <c r="AB11" s="490"/>
    </row>
    <row r="12" spans="1:28" ht="16.149999999999999" customHeight="1" thickTop="1" thickBot="1" x14ac:dyDescent="0.25">
      <c r="E12" s="692" t="str">
        <f>CHARTYEAR&amp;".Accommodation - Establishments.Serviced Accommodation 3"</f>
        <v>2013.Accommodation - Establishments.Serviced Accommodation 3</v>
      </c>
      <c r="F12" s="692" t="str">
        <f>CHARTYEAR&amp;".Accommodation - Bed Spaces.Serviced Accommodation 3"</f>
        <v>2013.Accommodation - Bed Spaces.Serviced Accommodation 3</v>
      </c>
      <c r="G12" s="693" t="str">
        <f>IF(OR(INDEX(DATA!G:G,MATCH('ACCOMMODATION SUPPLY'!$E12,REP.lookup,0))="",INDEX(DATA!G:G,MATCH('ACCOMMODATION SUPPLY'!$E12,REP.lookup,0))=0),NA(),INDEX(DATA!G:G,MATCH('ACCOMMODATION SUPPLY'!$E12,REP.lookup,0)))</f>
        <v>&lt;26 Room</v>
      </c>
      <c r="H12" s="694">
        <f>IFERROR(IF(OR(INDEX(DATA!T:T,MATCH('ACCOMMODATION SUPPLY'!$E12,REP.lookup,0))="",INDEX(DATA!T:T,MATCH('ACCOMMODATION SUPPLY'!$E12,REP.lookup,0))=0),"",INDEX(DATA!T:T,MATCH('ACCOMMODATION SUPPLY'!$E12,REP.lookup,0))),"")</f>
        <v>77</v>
      </c>
      <c r="I12" s="694">
        <f t="shared" si="2"/>
        <v>-77</v>
      </c>
      <c r="J12" s="694">
        <f>IFERROR(IF(OR(INDEX(DATA!T:T,MATCH('ACCOMMODATION SUPPLY'!$F12,REP.lookup,0))="",INDEX(DATA!T:T,MATCH('ACCOMMODATION SUPPLY'!$F12,REP.lookup,0))=0),"",INDEX(DATA!T:T,MATCH('ACCOMMODATION SUPPLY'!$F12,REP.lookup,0))),NA())</f>
        <v>1203</v>
      </c>
      <c r="K12" s="694" t="str">
        <f t="shared" si="3"/>
        <v>SA</v>
      </c>
      <c r="L12" s="694" t="str">
        <f>IF(OR(L11=G$15,L11=0),NA(),IF(ISNA(G12),G$15,G12))</f>
        <v>&lt;26 Room</v>
      </c>
      <c r="M12" s="694">
        <f t="shared" si="4"/>
        <v>77</v>
      </c>
      <c r="N12" s="694">
        <f t="shared" si="5"/>
        <v>-77</v>
      </c>
      <c r="O12" s="694">
        <f t="shared" si="6"/>
        <v>1203</v>
      </c>
      <c r="P12" s="430"/>
      <c r="Q12" s="693"/>
      <c r="R12" s="150"/>
      <c r="S12" s="152"/>
      <c r="T12" s="152"/>
      <c r="U12" s="420"/>
      <c r="V12" s="420"/>
      <c r="W12" s="420"/>
      <c r="X12" s="421"/>
      <c r="Y12" s="247"/>
      <c r="Z12" s="492"/>
      <c r="AA12" s="491"/>
      <c r="AB12" s="490"/>
    </row>
    <row r="13" spans="1:28" ht="16.149999999999999" customHeight="1" thickTop="1" thickBot="1" x14ac:dyDescent="0.25">
      <c r="E13" s="692" t="str">
        <f>CHARTYEAR&amp;".Accommodation - Establishments.Serviced Accommodation 4"</f>
        <v>2013.Accommodation - Establishments.Serviced Accommodation 4</v>
      </c>
      <c r="F13" s="692" t="str">
        <f>CHARTYEAR&amp;".Accommodation - Bed Spaces.Serviced Accommodation 4"</f>
        <v>2013.Accommodation - Bed Spaces.Serviced Accommodation 4</v>
      </c>
      <c r="G13" s="693" t="str">
        <f>IF(OR(INDEX(DATA!G:G,MATCH('ACCOMMODATION SUPPLY'!$E13,REP.lookup,0))="",INDEX(DATA!G:G,MATCH('ACCOMMODATION SUPPLY'!$E13,REP.lookup,0))=0),NA(),INDEX(DATA!G:G,MATCH('ACCOMMODATION SUPPLY'!$E13,REP.lookup,0)))</f>
        <v>Guest Houses/B&amp;Bs</v>
      </c>
      <c r="H13" s="694">
        <f>IFERROR(IF(OR(INDEX(DATA!T:T,MATCH('ACCOMMODATION SUPPLY'!$E13,REP.lookup,0))="",INDEX(DATA!T:T,MATCH('ACCOMMODATION SUPPLY'!$E13,REP.lookup,0))=0),"",INDEX(DATA!T:T,MATCH('ACCOMMODATION SUPPLY'!$E13,REP.lookup,0))),"")</f>
        <v>129</v>
      </c>
      <c r="I13" s="694">
        <f t="shared" si="2"/>
        <v>-129</v>
      </c>
      <c r="J13" s="694">
        <f>IFERROR(IF(OR(INDEX(DATA!T:T,MATCH('ACCOMMODATION SUPPLY'!$F13,REP.lookup,0))="",INDEX(DATA!T:T,MATCH('ACCOMMODATION SUPPLY'!$F13,REP.lookup,0))=0),"",INDEX(DATA!T:T,MATCH('ACCOMMODATION SUPPLY'!$F13,REP.lookup,0))),NA())</f>
        <v>953</v>
      </c>
      <c r="K13" s="694" t="str">
        <f t="shared" si="3"/>
        <v>SA</v>
      </c>
      <c r="L13" s="694" t="str">
        <f t="shared" ref="L13:L19" si="7">IF(OR(L12=G$15,L12=0),NA(),IF(ISNA(G13),G$15,G13))</f>
        <v>Guest Houses/B&amp;Bs</v>
      </c>
      <c r="M13" s="694">
        <f t="shared" si="4"/>
        <v>129</v>
      </c>
      <c r="N13" s="694">
        <f t="shared" si="5"/>
        <v>-129</v>
      </c>
      <c r="O13" s="694">
        <f t="shared" si="6"/>
        <v>953</v>
      </c>
      <c r="P13" s="430"/>
      <c r="Q13" s="693"/>
      <c r="R13" s="150"/>
      <c r="S13" s="436"/>
      <c r="T13" s="696"/>
      <c r="U13" s="436"/>
      <c r="V13" s="436"/>
      <c r="W13" s="436"/>
      <c r="X13" s="437"/>
      <c r="Y13" s="247"/>
      <c r="Z13" s="492"/>
      <c r="AA13" s="491"/>
      <c r="AB13" s="490"/>
    </row>
    <row r="14" spans="1:28" ht="16.149999999999999" customHeight="1" thickTop="1" thickBot="1" x14ac:dyDescent="0.25">
      <c r="E14" s="692" t="str">
        <f>CHARTYEAR&amp;".Accommodation - Establishments.Serviced Accommodation 5"</f>
        <v>2013.Accommodation - Establishments.Serviced Accommodation 5</v>
      </c>
      <c r="F14" s="692" t="str">
        <f>CHARTYEAR&amp;".Accommodation - Bed Spaces.Serviced Accommodation 5"</f>
        <v>2013.Accommodation - Bed Spaces.Serviced Accommodation 5</v>
      </c>
      <c r="G14" s="693" t="e">
        <f>IF(OR(INDEX(DATA!G:G,MATCH('ACCOMMODATION SUPPLY'!$E14,REP.lookup,0))="",INDEX(DATA!G:G,MATCH('ACCOMMODATION SUPPLY'!$E14,REP.lookup,0))=0),NA(),INDEX(DATA!G:G,MATCH('ACCOMMODATION SUPPLY'!$E14,REP.lookup,0)))</f>
        <v>#N/A</v>
      </c>
      <c r="H14" s="694" t="str">
        <f>IFERROR(IF(OR(INDEX(DATA!T:T,MATCH('ACCOMMODATION SUPPLY'!$E14,REP.lookup,0))="",INDEX(DATA!T:T,MATCH('ACCOMMODATION SUPPLY'!$E14,REP.lookup,0))=0),"",INDEX(DATA!T:T,MATCH('ACCOMMODATION SUPPLY'!$E14,REP.lookup,0))),"")</f>
        <v/>
      </c>
      <c r="I14" s="694" t="e">
        <f t="shared" si="2"/>
        <v>#N/A</v>
      </c>
      <c r="J14" s="694" t="str">
        <f>IFERROR(IF(OR(INDEX(DATA!T:T,MATCH('ACCOMMODATION SUPPLY'!$F14,REP.lookup,0))="",INDEX(DATA!T:T,MATCH('ACCOMMODATION SUPPLY'!$F14,REP.lookup,0))=0),"",INDEX(DATA!T:T,MATCH('ACCOMMODATION SUPPLY'!$F14,REP.lookup,0))),NA())</f>
        <v/>
      </c>
      <c r="K14" s="694" t="str">
        <f t="shared" si="3"/>
        <v>SAT</v>
      </c>
      <c r="L14" s="694" t="str">
        <f t="shared" si="7"/>
        <v>Serviced Total</v>
      </c>
      <c r="M14" s="694">
        <f t="shared" si="4"/>
        <v>212</v>
      </c>
      <c r="N14" s="694">
        <f t="shared" si="5"/>
        <v>-212</v>
      </c>
      <c r="O14" s="694">
        <f t="shared" si="6"/>
        <v>2650</v>
      </c>
      <c r="P14" s="430"/>
      <c r="Q14" s="693"/>
      <c r="R14" s="150"/>
      <c r="S14" s="436"/>
      <c r="T14" s="696"/>
      <c r="U14" s="436"/>
      <c r="V14" s="436"/>
      <c r="W14" s="436"/>
      <c r="X14" s="437"/>
      <c r="Y14" s="247"/>
      <c r="Z14" s="492"/>
      <c r="AA14" s="491"/>
      <c r="AB14" s="490"/>
    </row>
    <row r="15" spans="1:28" ht="16.149999999999999" customHeight="1" thickTop="1" thickBot="1" x14ac:dyDescent="0.25">
      <c r="E15" s="692" t="str">
        <f>CHARTYEAR&amp;".Accommodation - Establishments.Serviced Accommodation Total"</f>
        <v>2013.Accommodation - Establishments.Serviced Accommodation Total</v>
      </c>
      <c r="F15" s="692" t="str">
        <f>CHARTYEAR&amp;".Accommodation - Bed Spaces.Serviced Accommodation Total"</f>
        <v>2013.Accommodation - Bed Spaces.Serviced Accommodation Total</v>
      </c>
      <c r="G15" s="693" t="str">
        <f>IF(OR(INDEX(DATA!G:G,MATCH('ACCOMMODATION SUPPLY'!$E15,REP.lookup,0))="",INDEX(DATA!G:G,MATCH('ACCOMMODATION SUPPLY'!$E15,REP.lookup,0))=0),"",INDEX(DATA!G:G,MATCH('ACCOMMODATION SUPPLY'!$E15,REP.lookup,0)))</f>
        <v>Serviced Total</v>
      </c>
      <c r="H15" s="694">
        <f>IFERROR(IF(OR(INDEX(DATA!T:T,MATCH('ACCOMMODATION SUPPLY'!$E15,REP.lookup,0))="",INDEX(DATA!T:T,MATCH('ACCOMMODATION SUPPLY'!$E15,REP.lookup,0))=0),"",INDEX(DATA!T:T,MATCH('ACCOMMODATION SUPPLY'!$E15,REP.lookup,0))),"")</f>
        <v>212</v>
      </c>
      <c r="I15" s="694">
        <f t="shared" si="2"/>
        <v>-212</v>
      </c>
      <c r="J15" s="694">
        <f>IFERROR(IF(OR(INDEX(DATA!T:T,MATCH('ACCOMMODATION SUPPLY'!$F15,REP.lookup,0))="",INDEX(DATA!T:T,MATCH('ACCOMMODATION SUPPLY'!$F15,REP.lookup,0))=0),"",INDEX(DATA!T:T,MATCH('ACCOMMODATION SUPPLY'!$F15,REP.lookup,0))),NA())</f>
        <v>2650</v>
      </c>
      <c r="K15" s="694" t="e">
        <f t="shared" si="3"/>
        <v>#N/A</v>
      </c>
      <c r="L15" s="694" t="e">
        <f t="shared" si="7"/>
        <v>#N/A</v>
      </c>
      <c r="M15" s="694" t="e">
        <f t="shared" si="4"/>
        <v>#N/A</v>
      </c>
      <c r="N15" s="694" t="e">
        <f t="shared" si="5"/>
        <v>#N/A</v>
      </c>
      <c r="O15" s="694" t="e">
        <f t="shared" si="6"/>
        <v>#N/A</v>
      </c>
      <c r="P15" s="430"/>
      <c r="Q15" s="693"/>
      <c r="R15" s="150"/>
      <c r="S15" s="436"/>
      <c r="T15" s="696"/>
      <c r="U15" s="436"/>
      <c r="V15" s="436"/>
      <c r="W15" s="436"/>
      <c r="X15" s="437"/>
      <c r="Y15" s="247"/>
      <c r="Z15" s="492"/>
      <c r="AA15" s="491"/>
      <c r="AB15" s="490"/>
    </row>
    <row r="16" spans="1:28" ht="16.149999999999999" customHeight="1" thickTop="1" thickBot="1" x14ac:dyDescent="0.25">
      <c r="E16" s="697"/>
      <c r="F16" s="693"/>
      <c r="G16" s="434"/>
      <c r="H16" s="693"/>
      <c r="I16" s="693"/>
      <c r="J16" s="693"/>
      <c r="K16" s="694" t="e">
        <f t="shared" si="3"/>
        <v>#N/A</v>
      </c>
      <c r="L16" s="694" t="e">
        <f t="shared" si="7"/>
        <v>#N/A</v>
      </c>
      <c r="M16" s="694" t="e">
        <f t="shared" si="4"/>
        <v>#N/A</v>
      </c>
      <c r="N16" s="694" t="e">
        <f t="shared" si="5"/>
        <v>#N/A</v>
      </c>
      <c r="O16" s="694" t="e">
        <f t="shared" si="6"/>
        <v>#N/A</v>
      </c>
      <c r="P16" s="430"/>
      <c r="Q16" s="693"/>
      <c r="R16" s="150"/>
      <c r="S16" s="424"/>
      <c r="T16" s="696"/>
      <c r="U16" s="424"/>
      <c r="V16" s="424"/>
      <c r="W16" s="424"/>
      <c r="X16" s="426"/>
      <c r="Y16" s="277"/>
      <c r="Z16" s="492"/>
      <c r="AA16" s="491"/>
      <c r="AB16" s="490"/>
    </row>
    <row r="17" spans="4:28" ht="16.149999999999999" customHeight="1" thickTop="1" thickBot="1" x14ac:dyDescent="0.25">
      <c r="E17" s="692"/>
      <c r="F17" s="693"/>
      <c r="G17" s="434"/>
      <c r="H17" s="693"/>
      <c r="I17" s="693"/>
      <c r="J17" s="693"/>
      <c r="K17" s="694" t="e">
        <f t="shared" si="3"/>
        <v>#N/A</v>
      </c>
      <c r="L17" s="694" t="e">
        <f t="shared" si="7"/>
        <v>#N/A</v>
      </c>
      <c r="M17" s="694" t="e">
        <f t="shared" si="4"/>
        <v>#N/A</v>
      </c>
      <c r="N17" s="694" t="e">
        <f t="shared" si="5"/>
        <v>#N/A</v>
      </c>
      <c r="O17" s="694" t="e">
        <f t="shared" si="6"/>
        <v>#N/A</v>
      </c>
      <c r="P17" s="430"/>
      <c r="Q17" s="693"/>
      <c r="R17" s="150"/>
      <c r="S17" s="424"/>
      <c r="T17" s="436"/>
      <c r="U17" s="424"/>
      <c r="V17" s="424"/>
      <c r="W17" s="424"/>
      <c r="X17" s="426"/>
      <c r="Y17" s="247"/>
      <c r="Z17" s="492"/>
      <c r="AA17" s="491"/>
      <c r="AB17" s="490"/>
    </row>
    <row r="18" spans="4:28" ht="16.149999999999999" customHeight="1" thickTop="1" thickBot="1" x14ac:dyDescent="0.25">
      <c r="E18" s="692"/>
      <c r="F18" s="693"/>
      <c r="G18" s="434"/>
      <c r="H18" s="693"/>
      <c r="I18" s="693"/>
      <c r="J18" s="693"/>
      <c r="K18" s="694" t="e">
        <f t="shared" si="3"/>
        <v>#N/A</v>
      </c>
      <c r="L18" s="694" t="e">
        <f t="shared" si="7"/>
        <v>#N/A</v>
      </c>
      <c r="M18" s="694" t="e">
        <f t="shared" si="4"/>
        <v>#N/A</v>
      </c>
      <c r="N18" s="694" t="e">
        <f t="shared" si="5"/>
        <v>#N/A</v>
      </c>
      <c r="O18" s="694" t="e">
        <f t="shared" si="6"/>
        <v>#N/A</v>
      </c>
      <c r="P18" s="430"/>
      <c r="Q18" s="693"/>
      <c r="R18" s="150"/>
      <c r="S18" s="424"/>
      <c r="T18" s="436"/>
      <c r="U18" s="424"/>
      <c r="V18" s="424"/>
      <c r="W18" s="424"/>
      <c r="X18" s="426"/>
      <c r="Y18" s="247"/>
      <c r="Z18" s="492"/>
      <c r="AA18" s="491"/>
      <c r="AB18" s="490"/>
    </row>
    <row r="19" spans="4:28" ht="16.149999999999999" customHeight="1" thickTop="1" thickBot="1" x14ac:dyDescent="0.25">
      <c r="E19" s="692"/>
      <c r="F19" s="693"/>
      <c r="G19" s="434"/>
      <c r="H19" s="693"/>
      <c r="I19" s="693"/>
      <c r="J19" s="693"/>
      <c r="K19" s="694" t="e">
        <f t="shared" si="3"/>
        <v>#N/A</v>
      </c>
      <c r="L19" s="694" t="e">
        <f t="shared" si="7"/>
        <v>#N/A</v>
      </c>
      <c r="M19" s="694" t="e">
        <f t="shared" si="4"/>
        <v>#N/A</v>
      </c>
      <c r="N19" s="694" t="e">
        <f t="shared" si="5"/>
        <v>#N/A</v>
      </c>
      <c r="O19" s="694" t="e">
        <f t="shared" si="6"/>
        <v>#N/A</v>
      </c>
      <c r="P19" s="430"/>
      <c r="Q19" s="693"/>
      <c r="R19" s="150"/>
      <c r="S19" s="424"/>
      <c r="T19" s="436"/>
      <c r="U19" s="424"/>
      <c r="V19" s="424"/>
      <c r="W19" s="424"/>
      <c r="X19" s="426"/>
      <c r="Y19" s="247"/>
      <c r="Z19" s="492"/>
      <c r="AA19" s="491"/>
      <c r="AB19" s="490"/>
    </row>
    <row r="20" spans="4:28" ht="16.149999999999999" customHeight="1" thickTop="1" thickBot="1" x14ac:dyDescent="0.25">
      <c r="E20" s="697"/>
      <c r="F20" s="693"/>
      <c r="G20" s="434"/>
      <c r="H20" s="693"/>
      <c r="I20" s="693"/>
      <c r="J20" s="693"/>
      <c r="K20" s="694"/>
      <c r="L20" s="694"/>
      <c r="M20" s="694"/>
      <c r="N20" s="694"/>
      <c r="O20" s="694"/>
      <c r="P20" s="430"/>
      <c r="Q20" s="693"/>
      <c r="R20" s="150"/>
      <c r="S20" s="434"/>
      <c r="T20" s="434"/>
      <c r="U20" s="434"/>
      <c r="V20" s="434"/>
      <c r="W20" s="434"/>
      <c r="X20" s="438"/>
      <c r="Y20" s="247"/>
      <c r="Z20" s="492"/>
      <c r="AA20" s="491"/>
      <c r="AB20" s="490"/>
    </row>
    <row r="21" spans="4:28" ht="16.149999999999999" customHeight="1" thickTop="1" thickBot="1" x14ac:dyDescent="0.25">
      <c r="E21" s="692"/>
      <c r="F21" s="693"/>
      <c r="G21" s="434"/>
      <c r="H21" s="693"/>
      <c r="I21" s="693"/>
      <c r="J21" s="693"/>
      <c r="K21" s="694"/>
      <c r="L21" s="694"/>
      <c r="M21" s="694"/>
      <c r="N21" s="694"/>
      <c r="O21" s="694"/>
      <c r="P21" s="430"/>
      <c r="Q21" s="693"/>
      <c r="R21" s="150"/>
      <c r="S21" s="439"/>
      <c r="T21" s="439"/>
      <c r="U21" s="439"/>
      <c r="V21" s="439"/>
      <c r="W21" s="439"/>
      <c r="X21" s="176"/>
      <c r="Y21" s="247"/>
      <c r="Z21" s="492"/>
      <c r="AA21" s="491"/>
      <c r="AB21" s="490"/>
    </row>
    <row r="22" spans="4:28" ht="16.149999999999999" customHeight="1" thickTop="1" thickBot="1" x14ac:dyDescent="0.25">
      <c r="E22" s="1037" t="s">
        <v>49</v>
      </c>
      <c r="F22" s="1038"/>
      <c r="G22" s="1038"/>
      <c r="H22" s="1038"/>
      <c r="I22" s="1038"/>
      <c r="J22" s="1038"/>
      <c r="K22" s="1038"/>
      <c r="L22" s="1038"/>
      <c r="M22" s="1038"/>
      <c r="N22" s="1038"/>
      <c r="O22" s="1038"/>
      <c r="P22" s="1038"/>
      <c r="Q22" s="1038"/>
      <c r="R22" s="1038"/>
      <c r="S22" s="1038"/>
      <c r="T22" s="1038"/>
      <c r="U22" s="1038"/>
      <c r="V22" s="1038"/>
      <c r="W22" s="1038"/>
      <c r="X22" s="1039"/>
      <c r="Y22" s="247"/>
      <c r="Z22" s="492"/>
      <c r="AA22" s="491"/>
      <c r="AB22" s="490"/>
    </row>
    <row r="23" spans="4:28" ht="16.149999999999999" customHeight="1" thickTop="1" x14ac:dyDescent="0.2">
      <c r="E23" s="690"/>
      <c r="F23" s="430"/>
      <c r="G23" s="419"/>
      <c r="H23" s="430" t="str">
        <f t="shared" ref="H23" ca="1" si="8">"'"&amp;$A$1&amp;"'!"&amp;CELL("address",H24)&amp;":"&amp;CELL("address",OFFSET(H24,COUNT($J$10:$J$14)-1,0))&amp;";"&amp;CELL("address",H29)</f>
        <v>'ACCOMMODATION SUPPLY'!$H$24:$H$27;$H$29</v>
      </c>
      <c r="I23" s="430" t="str">
        <f t="shared" ref="I23" ca="1" si="9">"'"&amp;$A$1&amp;"'!"&amp;CELL("address",I24)&amp;":"&amp;CELL("address",OFFSET(I24,COUNT($J$10:$J$14)-1,0))&amp;";"&amp;CELL("address",I29)</f>
        <v>'ACCOMMODATION SUPPLY'!$I$24:$I$27;$I$29</v>
      </c>
      <c r="J23" s="430" t="str">
        <f t="shared" ref="J23" ca="1" si="10">"'"&amp;$A$1&amp;"'!"&amp;CELL("address",J24)&amp;":"&amp;CELL("address",OFFSET(J24,COUNT($J$10:$J$14)-1,0))&amp;";"&amp;CELL("address",J29)</f>
        <v>'ACCOMMODATION SUPPLY'!$J$24:$J$27;$J$29</v>
      </c>
      <c r="K23" s="430" t="s">
        <v>174</v>
      </c>
      <c r="L23" s="691" t="str">
        <f ca="1">"'"&amp;$A$1&amp;"'!"&amp;ADDRESS(MATCH("NSA",$K$1:$K$100,0),COLUMN(L$9),,,)&amp;":"&amp;IFERROR(ADDRESS(MATCH("NSAT",$K$1:$K$100,0),COLUMN(L$9),,,),ADDRESS(MATCH("NSA",$K$1:$K$100,0),COLUMN(L$9),,,))</f>
        <v>'ACCOMMODATION SUPPLY'!$L$24:$L$26</v>
      </c>
      <c r="M23" s="691" t="str">
        <f t="shared" ref="M23:O23" ca="1" si="11">"'"&amp;$A$1&amp;"'!"&amp;ADDRESS(MATCH("NSA",$K$1:$K$100,0),COLUMN(M$9),,,)&amp;":"&amp;IFERROR(ADDRESS(MATCH("NSAT",$K$1:$K$100,0),COLUMN(M$9),,,),ADDRESS(MATCH("NSA",$K$1:$K$100,0),COLUMN(M$9),,,))</f>
        <v>'ACCOMMODATION SUPPLY'!$M$24:$M$26</v>
      </c>
      <c r="N23" s="691" t="str">
        <f t="shared" ca="1" si="11"/>
        <v>'ACCOMMODATION SUPPLY'!$N$24:$N$26</v>
      </c>
      <c r="O23" s="691" t="str">
        <f t="shared" ca="1" si="11"/>
        <v>'ACCOMMODATION SUPPLY'!$O$24:$O$26</v>
      </c>
      <c r="P23" s="698"/>
      <c r="Q23" s="698"/>
      <c r="R23" s="691"/>
      <c r="S23" s="691"/>
      <c r="T23" s="691"/>
      <c r="U23" s="691"/>
      <c r="V23" s="691"/>
      <c r="W23" s="430"/>
      <c r="X23" s="431"/>
      <c r="Y23" s="247"/>
      <c r="AA23" s="492"/>
      <c r="AB23" s="490"/>
    </row>
    <row r="24" spans="4:28" ht="16.149999999999999" customHeight="1" x14ac:dyDescent="0.2">
      <c r="E24" s="692" t="str">
        <f>CHARTYEAR&amp;".Accommodation - Establishments.non-serviced Accommodation 1"</f>
        <v>2013.Accommodation - Establishments.non-serviced Accommodation 1</v>
      </c>
      <c r="F24" s="692" t="str">
        <f>CHARTYEAR&amp;".Accommodation - Bed Spaces.non-serviced Accommodation 1"</f>
        <v>2013.Accommodation - Bed Spaces.non-serviced Accommodation 1</v>
      </c>
      <c r="G24" s="693" t="str">
        <f>IF(OR(INDEX(DATA!G:G,MATCH('ACCOMMODATION SUPPLY'!$E24,REP.lookup,0))="",INDEX(DATA!G:G,MATCH('ACCOMMODATION SUPPLY'!$E24,REP.lookup,0))=0),NA(),INDEX(DATA!G:G,MATCH('ACCOMMODATION SUPPLY'!$E24,REP.lookup,0)))</f>
        <v>Self-Catering</v>
      </c>
      <c r="H24" s="694">
        <f>IFERROR(IF(OR(INDEX(DATA!T:T,MATCH('ACCOMMODATION SUPPLY'!$E24,REP.lookup,0))="",INDEX(DATA!T:T,MATCH('ACCOMMODATION SUPPLY'!$E24,REP.lookup,0))=0),"",INDEX(DATA!T:T,MATCH('ACCOMMODATION SUPPLY'!$E24,REP.lookup,0))),"")</f>
        <v>177</v>
      </c>
      <c r="I24" s="694">
        <f>IFERROR(H24*-1,NA())</f>
        <v>-177</v>
      </c>
      <c r="J24" s="694">
        <f>IFERROR(IF(OR(INDEX(DATA!T:T,MATCH('ACCOMMODATION SUPPLY'!$F24,REP.lookup,0))="",INDEX(DATA!T:T,MATCH('ACCOMMODATION SUPPLY'!$F24,REP.lookup,0))=0)," ",INDEX(DATA!T:T,MATCH('ACCOMMODATION SUPPLY'!$F24,REP.lookup,0))),NA())</f>
        <v>2014</v>
      </c>
      <c r="K24" s="694" t="str">
        <f>IF(AND(ISNUMBER(O24),O24&gt;0),IF(ISNUMBER(FIND("Total",$L24)),"NSAT","NSA"),"")</f>
        <v>NSA</v>
      </c>
      <c r="L24" s="694" t="str">
        <f>IF(OR(ISNA(G24),MAX($H$24:$J$24)=0),G$29,G24)</f>
        <v>Self-Catering</v>
      </c>
      <c r="M24" s="694">
        <f>VLOOKUP($L24,$G$24:$J$33,2,FALSE)</f>
        <v>177</v>
      </c>
      <c r="N24" s="694">
        <f>VLOOKUP($L24,$G$24:$J$33,3,FALSE)</f>
        <v>-177</v>
      </c>
      <c r="O24" s="694">
        <f>VLOOKUP($L24,$G$24:$J$33,4,FALSE)</f>
        <v>2014</v>
      </c>
      <c r="P24" s="698"/>
      <c r="Q24" s="698"/>
      <c r="R24" s="419"/>
      <c r="S24" s="419"/>
      <c r="T24" s="419"/>
      <c r="U24" s="419"/>
      <c r="V24" s="419"/>
      <c r="W24" s="419"/>
      <c r="X24" s="435"/>
      <c r="Y24" s="247"/>
      <c r="AA24" s="492"/>
      <c r="AB24" s="490"/>
    </row>
    <row r="25" spans="4:28" ht="16.149999999999999" customHeight="1" x14ac:dyDescent="0.2">
      <c r="E25" s="692" t="str">
        <f>CHARTYEAR&amp;".Accommodation - Establishments.non-serviced Accommodation 2"</f>
        <v>2013.Accommodation - Establishments.non-serviced Accommodation 2</v>
      </c>
      <c r="F25" s="692" t="str">
        <f>CHARTYEAR&amp;".Accommodation - Bed Spaces.non-serviced Accommodation 2"</f>
        <v>2013.Accommodation - Bed Spaces.non-serviced Accommodation 2</v>
      </c>
      <c r="G25" s="693" t="str">
        <f>IF(OR(INDEX(DATA!G:G,MATCH('ACCOMMODATION SUPPLY'!$E25,REP.lookup,0))="",INDEX(DATA!G:G,MATCH('ACCOMMODATION SUPPLY'!$E25,REP.lookup,0))=0),NA(),INDEX(DATA!G:G,MATCH('ACCOMMODATION SUPPLY'!$E25,REP.lookup,0)))</f>
        <v>Touring/Camping</v>
      </c>
      <c r="H25" s="694">
        <f>IFERROR(IF(OR(INDEX(DATA!T:T,MATCH('ACCOMMODATION SUPPLY'!$E25,REP.lookup,0))="",INDEX(DATA!T:T,MATCH('ACCOMMODATION SUPPLY'!$E25,REP.lookup,0))=0),"",INDEX(DATA!T:T,MATCH('ACCOMMODATION SUPPLY'!$E25,REP.lookup,0))),"")</f>
        <v>19</v>
      </c>
      <c r="I25" s="694">
        <f t="shared" ref="I25:I29" si="12">IFERROR(H25*-1,NA())</f>
        <v>-19</v>
      </c>
      <c r="J25" s="694">
        <f>IFERROR(IF(OR(INDEX(DATA!T:T,MATCH('ACCOMMODATION SUPPLY'!$F25,REP.lookup,0))="",INDEX(DATA!T:T,MATCH('ACCOMMODATION SUPPLY'!$F25,REP.lookup,0))=0)," ",INDEX(DATA!T:T,MATCH('ACCOMMODATION SUPPLY'!$F25,REP.lookup,0))),NA())</f>
        <v>2211</v>
      </c>
      <c r="K25" s="694" t="str">
        <f t="shared" ref="K25:K33" si="13">IF(AND(ISNUMBER(O25),O25&gt;0),IF(ISNUMBER(FIND("Total",$L25)),"NSAT","NSA"),"")</f>
        <v>NSA</v>
      </c>
      <c r="L25" s="694" t="str">
        <f>IF(OR(L24=G$29,L24=0),NA(),IF(ISNA(G25),G$29,G25))</f>
        <v>Touring/Camping</v>
      </c>
      <c r="M25" s="694">
        <f t="shared" ref="M25:M33" si="14">VLOOKUP($L25,$G$24:$J$33,2,FALSE)</f>
        <v>19</v>
      </c>
      <c r="N25" s="694">
        <f t="shared" ref="N25:N33" si="15">VLOOKUP($L25,$G$24:$J$33,3,FALSE)</f>
        <v>-19</v>
      </c>
      <c r="O25" s="694">
        <f t="shared" ref="O25:O33" si="16">VLOOKUP($L25,$G$24:$J$33,4,FALSE)</f>
        <v>2211</v>
      </c>
      <c r="P25" s="698"/>
      <c r="Q25" s="698"/>
      <c r="R25" s="436"/>
      <c r="S25" s="436"/>
      <c r="T25" s="436"/>
      <c r="U25" s="436"/>
      <c r="V25" s="436"/>
      <c r="W25" s="436"/>
      <c r="X25" s="437"/>
      <c r="Y25" s="247"/>
      <c r="AA25" s="492"/>
      <c r="AB25" s="490"/>
    </row>
    <row r="26" spans="4:28" ht="16.149999999999999" customHeight="1" thickBot="1" x14ac:dyDescent="0.25">
      <c r="E26" s="692" t="str">
        <f>CHARTYEAR&amp;".Accommodation - Establishments.non-serviced Accommodation 3"</f>
        <v>2013.Accommodation - Establishments.non-serviced Accommodation 3</v>
      </c>
      <c r="F26" s="692" t="str">
        <f>CHARTYEAR&amp;".Accommodation - Bed Spaces.non-serviced Accommodation 3"</f>
        <v>2013.Accommodation - Bed Spaces.non-serviced Accommodation 3</v>
      </c>
      <c r="G26" s="693" t="e">
        <f>IF(OR(INDEX(DATA!G:G,MATCH('ACCOMMODATION SUPPLY'!$E26,REP.lookup,0))="",INDEX(DATA!G:G,MATCH('ACCOMMODATION SUPPLY'!$E26,REP.lookup,0))=0),NA(),INDEX(DATA!G:G,MATCH('ACCOMMODATION SUPPLY'!$E26,REP.lookup,0)))</f>
        <v>#N/A</v>
      </c>
      <c r="H26" s="694" t="str">
        <f>IFERROR(IF(OR(INDEX(DATA!T:T,MATCH('ACCOMMODATION SUPPLY'!$E26,REP.lookup,0))="",INDEX(DATA!T:T,MATCH('ACCOMMODATION SUPPLY'!$E26,REP.lookup,0))=0),"",INDEX(DATA!T:T,MATCH('ACCOMMODATION SUPPLY'!$E26,REP.lookup,0))),"")</f>
        <v/>
      </c>
      <c r="I26" s="694" t="e">
        <f t="shared" si="12"/>
        <v>#N/A</v>
      </c>
      <c r="J26" s="694" t="str">
        <f>IFERROR(IF(OR(INDEX(DATA!T:T,MATCH('ACCOMMODATION SUPPLY'!$F26,REP.lookup,0))="",INDEX(DATA!T:T,MATCH('ACCOMMODATION SUPPLY'!$F26,REP.lookup,0))=0)," ",INDEX(DATA!T:T,MATCH('ACCOMMODATION SUPPLY'!$F26,REP.lookup,0))),NA())</f>
        <v xml:space="preserve"> </v>
      </c>
      <c r="K26" s="694" t="str">
        <f t="shared" si="13"/>
        <v>NSAT</v>
      </c>
      <c r="L26" s="694" t="str">
        <f>IF(OR(L25=G$29,L25=0),NA(),IF(ISNA(G26),G$29,G26))</f>
        <v xml:space="preserve">Non-Serviced Accommodation Total </v>
      </c>
      <c r="M26" s="694">
        <f t="shared" si="14"/>
        <v>196</v>
      </c>
      <c r="N26" s="694">
        <f t="shared" si="15"/>
        <v>-196</v>
      </c>
      <c r="O26" s="694">
        <f t="shared" si="16"/>
        <v>4225</v>
      </c>
      <c r="P26" s="698"/>
      <c r="Q26" s="698"/>
      <c r="R26" s="436"/>
      <c r="S26" s="436"/>
      <c r="T26" s="436"/>
      <c r="U26" s="436"/>
      <c r="V26" s="436"/>
      <c r="W26" s="436"/>
      <c r="X26" s="437"/>
      <c r="Y26" s="247"/>
      <c r="Z26" s="492">
        <f t="shared" ref="Z26" si="17">R31</f>
        <v>0</v>
      </c>
      <c r="AA26" s="491"/>
      <c r="AB26" s="490"/>
    </row>
    <row r="27" spans="4:28" ht="16.149999999999999" customHeight="1" thickTop="1" x14ac:dyDescent="0.2">
      <c r="D27" s="203"/>
      <c r="E27" s="692" t="str">
        <f>CHARTYEAR&amp;".Accommodation - Establishments.non-serviced Accommodation 4"</f>
        <v>2013.Accommodation - Establishments.non-serviced Accommodation 4</v>
      </c>
      <c r="F27" s="692" t="str">
        <f>CHARTYEAR&amp;".Accommodation - Bed Spaces.non-serviced Accommodation 4"</f>
        <v>2013.Accommodation - Bed Spaces.non-serviced Accommodation 4</v>
      </c>
      <c r="G27" s="693" t="e">
        <f>IF(OR(INDEX(DATA!G:G,MATCH('ACCOMMODATION SUPPLY'!$E27,REP.lookup,0))="",INDEX(DATA!G:G,MATCH('ACCOMMODATION SUPPLY'!$E27,REP.lookup,0))=0),NA(),INDEX(DATA!G:G,MATCH('ACCOMMODATION SUPPLY'!$E27,REP.lookup,0)))</f>
        <v>#N/A</v>
      </c>
      <c r="H27" s="694" t="str">
        <f>IFERROR(IF(OR(INDEX(DATA!T:T,MATCH('ACCOMMODATION SUPPLY'!$E27,REP.lookup,0))="",INDEX(DATA!T:T,MATCH('ACCOMMODATION SUPPLY'!$E27,REP.lookup,0))=0),"",INDEX(DATA!T:T,MATCH('ACCOMMODATION SUPPLY'!$E27,REP.lookup,0))),"")</f>
        <v/>
      </c>
      <c r="I27" s="694" t="e">
        <f t="shared" si="12"/>
        <v>#N/A</v>
      </c>
      <c r="J27" s="694" t="str">
        <f>IFERROR(IF(OR(INDEX(DATA!T:T,MATCH('ACCOMMODATION SUPPLY'!$F27,REP.lookup,0))="",INDEX(DATA!T:T,MATCH('ACCOMMODATION SUPPLY'!$F27,REP.lookup,0))=0)," ",INDEX(DATA!T:T,MATCH('ACCOMMODATION SUPPLY'!$F27,REP.lookup,0))),NA())</f>
        <v xml:space="preserve"> </v>
      </c>
      <c r="K27" s="694" t="e">
        <f t="shared" si="13"/>
        <v>#N/A</v>
      </c>
      <c r="L27" s="694" t="e">
        <f t="shared" ref="L27:L33" si="18">IF(OR(L26=G$29,L26=0),NA(),IF(ISNA(G27),G$29,G27))</f>
        <v>#N/A</v>
      </c>
      <c r="M27" s="694" t="e">
        <f t="shared" si="14"/>
        <v>#N/A</v>
      </c>
      <c r="N27" s="694" t="e">
        <f t="shared" si="15"/>
        <v>#N/A</v>
      </c>
      <c r="O27" s="694" t="e">
        <f t="shared" si="16"/>
        <v>#N/A</v>
      </c>
      <c r="P27" s="699"/>
      <c r="Q27" s="699"/>
      <c r="R27" s="436"/>
      <c r="S27" s="436"/>
      <c r="T27" s="436"/>
      <c r="U27" s="436"/>
      <c r="V27" s="436"/>
      <c r="W27" s="436"/>
      <c r="X27" s="437"/>
      <c r="Y27" s="247"/>
      <c r="Z27" s="492"/>
      <c r="AA27" s="491"/>
      <c r="AB27" s="490"/>
    </row>
    <row r="28" spans="4:28" ht="16.149999999999999" customHeight="1" x14ac:dyDescent="0.2">
      <c r="D28" s="203"/>
      <c r="E28" s="692" t="str">
        <f>CHARTYEAR&amp;".Accommodation - Establishments.non-serviced Accommodation 5"</f>
        <v>2013.Accommodation - Establishments.non-serviced Accommodation 5</v>
      </c>
      <c r="F28" s="692" t="str">
        <f>CHARTYEAR&amp;".Accommodation - Bed Spaces.non-serviced Accommodation 5"</f>
        <v>2013.Accommodation - Bed Spaces.non-serviced Accommodation 5</v>
      </c>
      <c r="G28" s="693" t="e">
        <f>IF(OR(INDEX(DATA!G:G,MATCH('ACCOMMODATION SUPPLY'!$E28,REP.lookup,0))="",INDEX(DATA!G:G,MATCH('ACCOMMODATION SUPPLY'!$E28,REP.lookup,0))=0),NA(),INDEX(DATA!G:G,MATCH('ACCOMMODATION SUPPLY'!$E28,REP.lookup,0)))</f>
        <v>#N/A</v>
      </c>
      <c r="H28" s="694" t="str">
        <f>IFERROR(IF(OR(INDEX(DATA!T:T,MATCH('ACCOMMODATION SUPPLY'!$E28,REP.lookup,0))="",INDEX(DATA!T:T,MATCH('ACCOMMODATION SUPPLY'!$E28,REP.lookup,0))=0),"",INDEX(DATA!T:T,MATCH('ACCOMMODATION SUPPLY'!$E28,REP.lookup,0))),"")</f>
        <v/>
      </c>
      <c r="I28" s="694" t="e">
        <f t="shared" si="12"/>
        <v>#N/A</v>
      </c>
      <c r="J28" s="694" t="str">
        <f>IFERROR(IF(OR(INDEX(DATA!T:T,MATCH('ACCOMMODATION SUPPLY'!$F28,REP.lookup,0))="",INDEX(DATA!T:T,MATCH('ACCOMMODATION SUPPLY'!$F28,REP.lookup,0))=0)," ",INDEX(DATA!T:T,MATCH('ACCOMMODATION SUPPLY'!$F28,REP.lookup,0))),NA())</f>
        <v xml:space="preserve"> </v>
      </c>
      <c r="K28" s="694" t="e">
        <f t="shared" si="13"/>
        <v>#N/A</v>
      </c>
      <c r="L28" s="694" t="e">
        <f t="shared" si="18"/>
        <v>#N/A</v>
      </c>
      <c r="M28" s="694" t="e">
        <f t="shared" si="14"/>
        <v>#N/A</v>
      </c>
      <c r="N28" s="694" t="e">
        <f t="shared" si="15"/>
        <v>#N/A</v>
      </c>
      <c r="O28" s="694" t="e">
        <f t="shared" si="16"/>
        <v>#N/A</v>
      </c>
      <c r="P28" s="694"/>
      <c r="Q28" s="694"/>
      <c r="R28" s="150"/>
      <c r="S28" s="424"/>
      <c r="T28" s="424"/>
      <c r="U28" s="424"/>
      <c r="V28" s="424"/>
      <c r="W28" s="424"/>
      <c r="X28" s="426"/>
      <c r="Y28" s="247"/>
      <c r="Z28" s="492"/>
      <c r="AA28" s="491"/>
      <c r="AB28" s="491"/>
    </row>
    <row r="29" spans="4:28" ht="16.149999999999999" customHeight="1" x14ac:dyDescent="0.2">
      <c r="D29" s="203"/>
      <c r="E29" s="692" t="str">
        <f>CHARTYEAR&amp;".Accommodation - Establishments.non-serviced Accommodation Total"</f>
        <v>2013.Accommodation - Establishments.non-serviced Accommodation Total</v>
      </c>
      <c r="F29" s="692" t="str">
        <f>CHARTYEAR&amp;".Accommodation - Bed Spaces.non-serviced Accommodation Total"</f>
        <v>2013.Accommodation - Bed Spaces.non-serviced Accommodation Total</v>
      </c>
      <c r="G29" s="693" t="str">
        <f>IF(OR(INDEX(DATA!G:G,MATCH('ACCOMMODATION SUPPLY'!$E29,REP.lookup,0))="",INDEX(DATA!G:G,MATCH('ACCOMMODATION SUPPLY'!$E29,REP.lookup,0))=0),"",INDEX(DATA!G:G,MATCH('ACCOMMODATION SUPPLY'!$E29,REP.lookup,0)))</f>
        <v xml:space="preserve">Non-Serviced Accommodation Total </v>
      </c>
      <c r="H29" s="694">
        <f>IFERROR(IF(OR(INDEX(DATA!T:T,MATCH('ACCOMMODATION SUPPLY'!$E29,REP.lookup,0))="",INDEX(DATA!T:T,MATCH('ACCOMMODATION SUPPLY'!$E29,REP.lookup,0))=0),"",INDEX(DATA!T:T,MATCH('ACCOMMODATION SUPPLY'!$E29,REP.lookup,0))),"")</f>
        <v>196</v>
      </c>
      <c r="I29" s="694">
        <f t="shared" si="12"/>
        <v>-196</v>
      </c>
      <c r="J29" s="694">
        <f>IFERROR(IF(OR(INDEX(DATA!T:T,MATCH('ACCOMMODATION SUPPLY'!$F29,REP.lookup,0))="",INDEX(DATA!T:T,MATCH('ACCOMMODATION SUPPLY'!$F29,REP.lookup,0))=0)," ",INDEX(DATA!T:T,MATCH('ACCOMMODATION SUPPLY'!$F29,REP.lookup,0))),NA())</f>
        <v>4225</v>
      </c>
      <c r="K29" s="694" t="e">
        <f t="shared" si="13"/>
        <v>#N/A</v>
      </c>
      <c r="L29" s="694" t="e">
        <f t="shared" si="18"/>
        <v>#N/A</v>
      </c>
      <c r="M29" s="694" t="e">
        <f t="shared" si="14"/>
        <v>#N/A</v>
      </c>
      <c r="N29" s="694" t="e">
        <f t="shared" si="15"/>
        <v>#N/A</v>
      </c>
      <c r="O29" s="694" t="e">
        <f t="shared" si="16"/>
        <v>#N/A</v>
      </c>
      <c r="P29" s="694"/>
      <c r="Q29" s="694"/>
      <c r="R29" s="150"/>
      <c r="S29" s="424"/>
      <c r="T29" s="424"/>
      <c r="U29" s="424"/>
      <c r="V29" s="424"/>
      <c r="W29" s="424"/>
      <c r="X29" s="426"/>
      <c r="Y29" s="247"/>
      <c r="Z29" s="492"/>
      <c r="AA29" s="491"/>
      <c r="AB29" s="491"/>
    </row>
    <row r="30" spans="4:28" ht="16.149999999999999" customHeight="1" x14ac:dyDescent="0.2">
      <c r="D30" s="203"/>
      <c r="E30" s="697"/>
      <c r="F30" s="693"/>
      <c r="G30" s="434"/>
      <c r="H30" s="693"/>
      <c r="I30" s="693"/>
      <c r="J30" s="693"/>
      <c r="K30" s="694" t="e">
        <f t="shared" si="13"/>
        <v>#N/A</v>
      </c>
      <c r="L30" s="694" t="e">
        <f t="shared" si="18"/>
        <v>#N/A</v>
      </c>
      <c r="M30" s="694" t="e">
        <f t="shared" si="14"/>
        <v>#N/A</v>
      </c>
      <c r="N30" s="694" t="e">
        <f t="shared" si="15"/>
        <v>#N/A</v>
      </c>
      <c r="O30" s="694" t="e">
        <f t="shared" si="16"/>
        <v>#N/A</v>
      </c>
      <c r="P30" s="694"/>
      <c r="Q30" s="694"/>
      <c r="R30" s="150"/>
      <c r="S30" s="424"/>
      <c r="T30" s="424" t="str">
        <f ca="1">TEXT(INDEX(SA.estlabel,COUNTA(SA.BEDLABEL))/SUM(INDEX(SA.estlabel,COUNTA(SA.BEDLABEL)),INDEX(NSA.estlabel,COUNTA(NSA.bedlabel))),"0.0%")&amp;" of all Establishments"</f>
        <v>52.0% of all Establishments</v>
      </c>
      <c r="U30" s="424" t="str">
        <f ca="1">TEXT(INDEX(NSA.estlabel,COUNTA(NSA.bedlabel))/SUM(INDEX(SA.estlabel,COUNTA(SA.BEDLABEL)),INDEX(NSA.estlabel,COUNTA(NSA.bedlabel))),"0.0%")&amp;" of all Establishments"</f>
        <v>48.0% of all Establishments</v>
      </c>
      <c r="V30" s="424"/>
      <c r="W30" s="424"/>
      <c r="X30" s="426"/>
      <c r="Y30" s="247"/>
      <c r="Z30" s="492"/>
      <c r="AA30" s="491"/>
      <c r="AB30" s="491"/>
    </row>
    <row r="31" spans="4:28" ht="16.149999999999999" customHeight="1" x14ac:dyDescent="0.2">
      <c r="D31" s="203"/>
      <c r="E31" s="692"/>
      <c r="F31" s="693"/>
      <c r="G31" s="434"/>
      <c r="H31" s="693"/>
      <c r="I31" s="693"/>
      <c r="J31" s="693"/>
      <c r="K31" s="694" t="e">
        <f t="shared" si="13"/>
        <v>#N/A</v>
      </c>
      <c r="L31" s="694" t="e">
        <f t="shared" si="18"/>
        <v>#N/A</v>
      </c>
      <c r="M31" s="694" t="e">
        <f t="shared" si="14"/>
        <v>#N/A</v>
      </c>
      <c r="N31" s="694" t="e">
        <f t="shared" si="15"/>
        <v>#N/A</v>
      </c>
      <c r="O31" s="694" t="e">
        <f t="shared" si="16"/>
        <v>#N/A</v>
      </c>
      <c r="P31" s="698"/>
      <c r="Q31" s="698"/>
      <c r="R31" s="150"/>
      <c r="S31" s="424"/>
      <c r="T31" s="424" t="str">
        <f ca="1">TEXT(INDEX(SA.bedvalue,COUNTA(SA.BEDLABEL))/SUM(INDEX(SA.bedvalue,COUNTA(SA.BEDLABEL)),INDEX(NSA.bedvalue,COUNTA(NSA.bedlabel))),"0.0%")&amp;" of all Bed Spaces"</f>
        <v>38.5% of all Bed Spaces</v>
      </c>
      <c r="U31" s="424" t="str">
        <f ca="1">TEXT(INDEX(NSA.bedvalue,COUNTA(NSA.bedlabel))/SUM(INDEX(SA.bedvalue,COUNTA(SA.BEDLABEL)),INDEX(NSA.bedvalue,COUNTA(NSA.bedlabel))),"0.0%")&amp;" of all Bed Spaces"</f>
        <v>61.5% of all Bed Spaces</v>
      </c>
      <c r="V31" s="424"/>
      <c r="W31" s="424"/>
      <c r="X31" s="426"/>
      <c r="Y31" s="247"/>
      <c r="Z31" s="492"/>
      <c r="AA31" s="491"/>
      <c r="AB31" s="490"/>
    </row>
    <row r="32" spans="4:28" ht="16.149999999999999" customHeight="1" x14ac:dyDescent="0.2">
      <c r="D32" s="203"/>
      <c r="E32" s="692"/>
      <c r="F32" s="693"/>
      <c r="G32" s="434"/>
      <c r="H32" s="693"/>
      <c r="I32" s="693"/>
      <c r="J32" s="693"/>
      <c r="K32" s="694" t="e">
        <f t="shared" si="13"/>
        <v>#N/A</v>
      </c>
      <c r="L32" s="694" t="e">
        <f t="shared" si="18"/>
        <v>#N/A</v>
      </c>
      <c r="M32" s="694" t="e">
        <f t="shared" si="14"/>
        <v>#N/A</v>
      </c>
      <c r="N32" s="694" t="e">
        <f t="shared" si="15"/>
        <v>#N/A</v>
      </c>
      <c r="O32" s="694" t="e">
        <f t="shared" si="16"/>
        <v>#N/A</v>
      </c>
      <c r="P32" s="700"/>
      <c r="Q32" s="700"/>
      <c r="R32" s="701"/>
      <c r="S32" s="424"/>
      <c r="T32" s="702" t="str">
        <f ca="1">TEXT(INDEX(SA.estlabel,COUNTA(SA.BEDLABEL))+INDEX(NSA.estlabel,COUNTA(NSA.bedlabel)),"#,#0")&amp;" accommodation establishments"</f>
        <v>408 accommodation establishments</v>
      </c>
      <c r="U32" s="703" t="str">
        <f ca="1">"The largest number of bed spaces was provided by "&amp;IF(LARGE(SA.bedvalue,2)&gt;LARGE(NSA.bedvalue,2),LOWER(INDEX(SA.BEDLABEL,MATCH(LARGE(SA.bedvalue,2),SA.bedvalue,0)))&amp;" establishments ("&amp;TEXT(LARGE(SA.bedvalue,2),"#,#0")&amp;" bed spaces)",LOWER(INDEX(NSA.bedlabel,MATCH(LARGE(NSA.bedvalue,2),NSA.bedvalue,0)))&amp;" establishments ("&amp;TEXT(LARGE(NSA.bedvalue,2),"#,#0")&amp;" bed spaces)")</f>
        <v>The largest number of bed spaces was provided by touring/camping establishments (2,211 bed spaces)</v>
      </c>
      <c r="V32" s="424"/>
      <c r="W32" s="424"/>
      <c r="X32" s="461"/>
      <c r="Y32" s="247"/>
      <c r="Z32" s="492"/>
      <c r="AA32" s="491"/>
      <c r="AB32" s="490"/>
    </row>
    <row r="33" spans="4:26" ht="16.149999999999999" customHeight="1" thickBot="1" x14ac:dyDescent="0.25">
      <c r="D33" s="203"/>
      <c r="E33" s="692"/>
      <c r="F33" s="693"/>
      <c r="G33" s="434"/>
      <c r="H33" s="693"/>
      <c r="I33" s="693"/>
      <c r="J33" s="693"/>
      <c r="K33" s="694" t="e">
        <f t="shared" si="13"/>
        <v>#N/A</v>
      </c>
      <c r="L33" s="694" t="e">
        <f t="shared" si="18"/>
        <v>#N/A</v>
      </c>
      <c r="M33" s="694" t="e">
        <f t="shared" si="14"/>
        <v>#N/A</v>
      </c>
      <c r="N33" s="694" t="e">
        <f t="shared" si="15"/>
        <v>#N/A</v>
      </c>
      <c r="O33" s="694" t="e">
        <f t="shared" si="16"/>
        <v>#N/A</v>
      </c>
      <c r="P33" s="704"/>
      <c r="Q33" s="704"/>
      <c r="R33" s="436"/>
      <c r="S33" s="424"/>
      <c r="T33" s="702" t="str">
        <f ca="1">TEXT(INDEX(SA.bedvalue,COUNTA(SA.BEDLABEL))+INDEX(NSA.bedvalue,COUNTA(NSA.bedlabel)),"#,#0")&amp;" bed spaces"</f>
        <v>6,875 bed spaces</v>
      </c>
      <c r="U33" s="702"/>
      <c r="V33" s="424"/>
      <c r="W33" s="424"/>
      <c r="X33" s="461"/>
      <c r="Y33" s="247"/>
      <c r="Z33" s="247"/>
    </row>
    <row r="34" spans="4:26" ht="16.149999999999999" customHeight="1" thickTop="1" x14ac:dyDescent="0.2">
      <c r="D34" s="203"/>
      <c r="E34" s="449"/>
      <c r="F34" s="699" t="str">
        <f t="array" ref="F34:Q34">{"Jan","Feb","Mar","Apr","May","Jun","Jul","Aug","Sep","Oct","Nov","Dec"}</f>
        <v>Jan</v>
      </c>
      <c r="G34" s="705" t="str">
        <v>Feb</v>
      </c>
      <c r="H34" s="699" t="str">
        <v>Mar</v>
      </c>
      <c r="I34" s="699" t="str">
        <v>Apr</v>
      </c>
      <c r="J34" s="699" t="str">
        <v>May</v>
      </c>
      <c r="K34" s="699" t="str">
        <v>Jun</v>
      </c>
      <c r="L34" s="699" t="str">
        <v>Jul</v>
      </c>
      <c r="M34" s="699" t="str">
        <v>Aug</v>
      </c>
      <c r="N34" s="706" t="str">
        <v>Sep</v>
      </c>
      <c r="O34" s="707" t="str">
        <v>Oct</v>
      </c>
      <c r="P34" s="699" t="str">
        <v>Nov</v>
      </c>
      <c r="Q34" s="699" t="str">
        <v>Dec</v>
      </c>
      <c r="R34" s="436"/>
      <c r="S34" s="424"/>
      <c r="T34" s="708" t="str">
        <f ca="1">"A total of "&amp;T32&amp;" provided a maximum of "&amp;CHAR(10)&amp;T33&amp;" for use by visitors during "&amp;CHARTYEAR&amp;"."&amp;CHAR(10)&amp;U32</f>
        <v>A total of 408 accommodation establishments provided a maximum of 
6,875 bed spaces for use by visitors during 2013.
The largest number of bed spaces was provided by touring/camping establishments (2,211 bed spaces)</v>
      </c>
      <c r="U34" s="424"/>
      <c r="V34" s="424"/>
      <c r="W34" s="424"/>
      <c r="X34" s="461"/>
      <c r="Y34" s="711"/>
      <c r="Z34" s="247"/>
    </row>
    <row r="35" spans="4:26" ht="16.149999999999999" customHeight="1" x14ac:dyDescent="0.2">
      <c r="D35" s="203"/>
      <c r="E35" s="449" t="str">
        <f>CHARTYEAR&amp;".Accommodation.Serviced Accommodation"</f>
        <v>2013.Accommodation.Serviced Accommodation</v>
      </c>
      <c r="F35" s="709">
        <f>INDEX(DATA!H:H,MATCH($E35,DATA!$C:$C,0))</f>
        <v>2580.4193548387098</v>
      </c>
      <c r="G35" s="709">
        <f>INDEX(DATA!I:I,MATCH($E35,DATA!$C:$C,0))</f>
        <v>2598</v>
      </c>
      <c r="H35" s="709">
        <f>INDEX(DATA!J:J,MATCH($E35,DATA!$C:$C,0))</f>
        <v>2611</v>
      </c>
      <c r="I35" s="709">
        <f>INDEX(DATA!K:K,MATCH($E35,DATA!$C:$C,0))</f>
        <v>2633.4193548387098</v>
      </c>
      <c r="J35" s="709">
        <f>INDEX(DATA!L:L,MATCH($E35,DATA!$C:$C,0))</f>
        <v>2647</v>
      </c>
      <c r="K35" s="709">
        <f>INDEX(DATA!M:M,MATCH($E35,DATA!$C:$C,0))</f>
        <v>2650</v>
      </c>
      <c r="L35" s="709">
        <f>INDEX(DATA!N:N,MATCH($E35,DATA!$C:$C,0))</f>
        <v>2650</v>
      </c>
      <c r="M35" s="709">
        <f>INDEX(DATA!O:O,MATCH($E35,DATA!$C:$C,0))</f>
        <v>2650</v>
      </c>
      <c r="N35" s="709">
        <f>INDEX(DATA!P:P,MATCH($E35,DATA!$C:$C,0))</f>
        <v>2647</v>
      </c>
      <c r="O35" s="709">
        <f>INDEX(DATA!Q:Q,MATCH($E35,DATA!$C:$C,0))</f>
        <v>2636</v>
      </c>
      <c r="P35" s="709">
        <f>INDEX(DATA!R:R,MATCH($E35,DATA!$C:$C,0))</f>
        <v>2603</v>
      </c>
      <c r="Q35" s="709">
        <f>INDEX(DATA!S:S,MATCH($E35,DATA!$C:$C,0))</f>
        <v>2569.6774193548385</v>
      </c>
      <c r="R35" s="709">
        <f>INDEX(DATA!T:T,MATCH($E35,DATA!$C:$C,0))</f>
        <v>2650</v>
      </c>
      <c r="S35" s="710"/>
      <c r="T35" s="710" t="e">
        <f>INDEX(DATA!#REF!,MATCH($E35,DATA!$C:$C,0))</f>
        <v>#REF!</v>
      </c>
      <c r="U35" s="424"/>
      <c r="V35" s="424"/>
      <c r="W35" s="424"/>
      <c r="X35" s="426"/>
      <c r="Y35" s="247"/>
      <c r="Z35" s="247"/>
    </row>
    <row r="36" spans="4:26" ht="16.149999999999999" customHeight="1" thickBot="1" x14ac:dyDescent="0.25">
      <c r="D36" s="203"/>
      <c r="E36" s="449" t="str">
        <f>CHARTYEAR&amp;".Accommodation.Non-Serviced Accommodation"</f>
        <v>2013.Accommodation.Non-Serviced Accommodation</v>
      </c>
      <c r="F36" s="709">
        <f>INDEX(DATA!H:H,MATCH($E36,DATA!$C:$C,0))</f>
        <v>1087</v>
      </c>
      <c r="G36" s="709">
        <f>INDEX(DATA!I:I,MATCH($E36,DATA!$C:$C,0))</f>
        <v>1075</v>
      </c>
      <c r="H36" s="709">
        <f>INDEX(DATA!J:J,MATCH($E36,DATA!$C:$C,0))</f>
        <v>1694</v>
      </c>
      <c r="I36" s="709">
        <f>INDEX(DATA!K:K,MATCH($E36,DATA!$C:$C,0))</f>
        <v>4193</v>
      </c>
      <c r="J36" s="709">
        <f>INDEX(DATA!L:L,MATCH($E36,DATA!$C:$C,0))</f>
        <v>4210</v>
      </c>
      <c r="K36" s="709">
        <f>INDEX(DATA!M:M,MATCH($E36,DATA!$C:$C,0))</f>
        <v>4225</v>
      </c>
      <c r="L36" s="709">
        <f>INDEX(DATA!N:N,MATCH($E36,DATA!$C:$C,0))</f>
        <v>4225</v>
      </c>
      <c r="M36" s="709">
        <f>INDEX(DATA!O:O,MATCH($E36,DATA!$C:$C,0))</f>
        <v>4225</v>
      </c>
      <c r="N36" s="709">
        <f>INDEX(DATA!P:P,MATCH($E36,DATA!$C:$C,0))</f>
        <v>4225</v>
      </c>
      <c r="O36" s="709">
        <f>INDEX(DATA!Q:Q,MATCH($E36,DATA!$C:$C,0))</f>
        <v>4042</v>
      </c>
      <c r="P36" s="709">
        <f>INDEX(DATA!R:R,MATCH($E36,DATA!$C:$C,0))</f>
        <v>1242</v>
      </c>
      <c r="Q36" s="709">
        <f>INDEX(DATA!S:S,MATCH($E36,DATA!$C:$C,0))</f>
        <v>1087</v>
      </c>
      <c r="R36" s="709">
        <f>INDEX(DATA!T:T,MATCH($E36,DATA!$C:$C,0))</f>
        <v>4225</v>
      </c>
      <c r="S36" s="284"/>
      <c r="T36" s="284"/>
      <c r="U36" s="284"/>
      <c r="V36" s="284"/>
      <c r="W36" s="284"/>
      <c r="X36" s="285"/>
      <c r="Y36" s="247"/>
      <c r="Z36" s="247"/>
    </row>
    <row r="37" spans="4:26" ht="16.149999999999999" customHeight="1" thickTop="1" thickBot="1" x14ac:dyDescent="0.25">
      <c r="D37" s="203"/>
      <c r="E37" s="449"/>
      <c r="F37" s="709"/>
      <c r="G37" s="709"/>
      <c r="H37" s="709"/>
      <c r="I37" s="709"/>
      <c r="J37" s="709"/>
      <c r="K37" s="709"/>
      <c r="L37" s="709"/>
      <c r="M37" s="709"/>
      <c r="N37" s="709"/>
      <c r="O37" s="709"/>
      <c r="P37" s="709"/>
      <c r="Q37" s="709"/>
      <c r="R37" s="709"/>
      <c r="S37" s="284"/>
      <c r="T37" s="284"/>
      <c r="U37" s="284"/>
      <c r="V37" s="284"/>
      <c r="W37" s="284"/>
      <c r="X37" s="285"/>
      <c r="Y37" s="247"/>
      <c r="Z37" s="247"/>
    </row>
    <row r="38" spans="4:26" s="181"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6" ht="16.149999999999999" customHeight="1" thickTop="1" x14ac:dyDescent="0.2"/>
    <row r="40" spans="4:26" ht="16.149999999999999" customHeight="1" x14ac:dyDescent="0.2">
      <c r="G40" s="247"/>
      <c r="H40" s="247"/>
      <c r="I40" s="247"/>
      <c r="J40" s="247"/>
      <c r="K40" s="247"/>
      <c r="L40" s="247"/>
      <c r="M40" s="247"/>
      <c r="N40" s="247"/>
      <c r="O40" s="247"/>
      <c r="P40" s="247"/>
      <c r="Q40" s="247"/>
      <c r="R40" s="247"/>
      <c r="S40" s="247"/>
      <c r="T40" s="247"/>
      <c r="U40" s="247"/>
      <c r="V40" s="247"/>
    </row>
    <row r="41" spans="4:26" ht="16.149999999999999" customHeight="1" x14ac:dyDescent="0.2">
      <c r="G41" s="247"/>
      <c r="H41" s="247"/>
      <c r="I41" s="247"/>
      <c r="J41" s="247"/>
      <c r="K41" s="247"/>
      <c r="L41" s="247"/>
      <c r="M41" s="247"/>
      <c r="N41" s="247"/>
      <c r="O41" s="247"/>
      <c r="P41" s="247"/>
      <c r="Q41" s="247"/>
      <c r="R41" s="247"/>
      <c r="S41" s="247"/>
      <c r="T41" s="247"/>
      <c r="U41" s="247"/>
      <c r="V41" s="247"/>
    </row>
    <row r="42" spans="4:26" ht="16.149999999999999" customHeight="1" x14ac:dyDescent="0.2">
      <c r="N42" s="247"/>
    </row>
    <row r="43" spans="4:26" ht="16.149999999999999" customHeight="1" x14ac:dyDescent="0.2">
      <c r="N43" s="247"/>
    </row>
    <row r="44" spans="4:26" ht="16.149999999999999" customHeight="1" x14ac:dyDescent="0.2">
      <c r="N44" s="247"/>
    </row>
    <row r="45" spans="4:26" ht="16.149999999999999" customHeight="1" x14ac:dyDescent="0.2">
      <c r="N45" s="247"/>
    </row>
    <row r="46" spans="4:26" ht="16.149999999999999" customHeight="1" x14ac:dyDescent="0.2">
      <c r="N46" s="247"/>
    </row>
    <row r="47" spans="4:26" ht="16.149999999999999" customHeight="1" x14ac:dyDescent="0.2">
      <c r="N47" s="247"/>
    </row>
    <row r="70" spans="7:23" ht="16.149999999999999" customHeight="1" x14ac:dyDescent="0.2">
      <c r="G70" s="118" t="s">
        <v>44</v>
      </c>
      <c r="H70" s="118" t="s">
        <v>44</v>
      </c>
      <c r="J70" s="118" t="s">
        <v>49</v>
      </c>
      <c r="K70" s="118" t="s">
        <v>49</v>
      </c>
      <c r="M70" s="118" t="s">
        <v>19</v>
      </c>
      <c r="N70" s="118" t="s">
        <v>19</v>
      </c>
      <c r="P70" s="118" t="s">
        <v>97</v>
      </c>
      <c r="S70" s="118" t="s">
        <v>73</v>
      </c>
      <c r="T70" s="118" t="s">
        <v>73</v>
      </c>
      <c r="V70" s="118" t="s">
        <v>55</v>
      </c>
      <c r="W70" s="118" t="s">
        <v>55</v>
      </c>
    </row>
  </sheetData>
  <sheetProtection algorithmName="SHA-512" hashValue="S/F6Q27A11/AvvE75YQJ+PLqt18uv4R8lhKtWEkn7cU7FT/qxF6uH+4VxE+tg8+79qCKD5XWDv6zVNH7yI47Dw==" saltValue="zv8GnFipVXU9sqakaaCLww==" spinCount="100000" sheet="1" objects="1" scenarios="1"/>
  <mergeCells count="4">
    <mergeCell ref="E22:X22"/>
    <mergeCell ref="O6:R7"/>
    <mergeCell ref="S6:T7"/>
    <mergeCell ref="U6:X7"/>
  </mergeCells>
  <conditionalFormatting sqref="P28:Q29">
    <cfRule type="expression" dxfId="14" priority="15">
      <formula>AVERAGE($F28:$Q28)&gt;2500</formula>
    </cfRule>
  </conditionalFormatting>
  <conditionalFormatting sqref="AA28">
    <cfRule type="expression" dxfId="13" priority="14">
      <formula>AA28&gt;2500</formula>
    </cfRule>
  </conditionalFormatting>
  <conditionalFormatting sqref="AB28:AB30">
    <cfRule type="expression" dxfId="12" priority="13">
      <formula>AB28&gt;2500</formula>
    </cfRule>
  </conditionalFormatting>
  <printOptions horizontalCentered="1" verticalCentered="1"/>
  <pageMargins left="0.70866141732283472" right="0.70866141732283472" top="0.74803149606299213" bottom="0.74803149606299213" header="0.31496062992125984" footer="0.31496062992125984"/>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9377" r:id="rId4" name="Drop Down 1">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229378" r:id="rId5" name="Drop Down 2">
              <controlPr defaultSize="0" autoLine="0" autoPict="0">
                <anchor moveWithCells="1">
                  <from>
                    <xdr:col>5</xdr:col>
                    <xdr:colOff>333375</xdr:colOff>
                    <xdr:row>4</xdr:row>
                    <xdr:rowOff>19050</xdr:rowOff>
                  </from>
                  <to>
                    <xdr:col>7</xdr:col>
                    <xdr:colOff>200025</xdr:colOff>
                    <xdr:row>4</xdr:row>
                    <xdr:rowOff>295275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7">
    <tabColor theme="1" tint="0.34998626667073579"/>
    <outlinePr showOutlineSymbols="0"/>
    <pageSetUpPr autoPageBreaks="0" fitToPage="1"/>
  </sheetPr>
  <dimension ref="A1:Y70"/>
  <sheetViews>
    <sheetView showGridLines="0" showRowColHeaders="0" showZeros="0" showOutlineSymbols="0" topLeftCell="A2" zoomScaleNormal="100" workbookViewId="0">
      <pane ySplit="6" topLeftCell="A8" activePane="bottomLeft" state="frozen"/>
      <selection activeCell="AC21" sqref="AC21"/>
      <selection pane="bottomLeft" activeCell="E6" sqref="E6"/>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4.85546875" style="118"/>
    <col min="26" max="26" width="8.42578125" style="118" bestFit="1" customWidth="1"/>
    <col min="27" max="16384" width="4.85546875" style="118"/>
  </cols>
  <sheetData>
    <row r="1" spans="1:25" ht="16.149999999999999" hidden="1" customHeight="1" x14ac:dyDescent="0.2">
      <c r="A1" s="117" t="str">
        <f ca="1">MID(CELL("filename",A1),FIND("]",CELL("filename",A1))+1,255)</f>
        <v>SECTORAL ANALYSIS</v>
      </c>
      <c r="E1" s="120"/>
      <c r="F1" s="121"/>
      <c r="G1" s="121"/>
      <c r="H1" s="121"/>
      <c r="I1" s="121"/>
      <c r="J1" s="121"/>
      <c r="K1" s="121"/>
      <c r="L1" s="121"/>
      <c r="M1" s="121"/>
      <c r="N1" s="121"/>
      <c r="O1" s="121"/>
      <c r="P1" s="121"/>
      <c r="Q1" s="121"/>
      <c r="R1" s="121"/>
      <c r="S1" s="121"/>
      <c r="T1" s="121"/>
      <c r="U1" s="121"/>
      <c r="V1" s="121"/>
      <c r="W1" s="121"/>
      <c r="X1" s="122"/>
    </row>
    <row r="2" spans="1:25" ht="16.149999999999999" customHeight="1" thickTop="1" x14ac:dyDescent="0.2">
      <c r="A2" s="625">
        <f ca="1">IF(($A$3/1000000)&gt;1,1000000,IF(($A$3/1000)&gt;1,1000,1))</f>
        <v>1000</v>
      </c>
      <c r="E2" s="123"/>
      <c r="F2" s="124"/>
      <c r="G2" s="124"/>
      <c r="H2" s="124"/>
      <c r="I2" s="124"/>
      <c r="J2" s="124"/>
      <c r="K2" s="124"/>
      <c r="L2" s="124"/>
      <c r="M2" s="124"/>
      <c r="N2" s="124"/>
      <c r="O2" s="124"/>
      <c r="P2" s="124"/>
      <c r="Q2" s="124"/>
      <c r="R2" s="124"/>
      <c r="S2" s="124"/>
      <c r="T2" s="124"/>
      <c r="U2" s="124"/>
      <c r="V2" s="124"/>
      <c r="W2" s="124"/>
      <c r="X2" s="125"/>
    </row>
    <row r="3" spans="1:25" ht="26.45" customHeight="1" x14ac:dyDescent="0.2">
      <c r="A3" s="625">
        <f t="array" aca="1" ref="A3" ca="1">IFERROR(AVERAGE(IF(TYPE.no=5,(INDEX(DATA!T:T,MATCH(REP.yearsrange&amp;"."&amp;'ECONOMIC IMPACT'!$A$1&amp;"."&amp;TOTAL,REP.lookup,0))-INDEX(DATA!T:T,MATCH(REP.yearsrange&amp;"."&amp;'ECONOMIC IMPACT'!$A$1&amp;"."&amp;DV,REP.lookup,0))),INDEX(DATA!T:T,MATCH(REP.yearsrange&amp;"."&amp;'ECONOMIC IMPACT'!$A$1&amp;"."&amp;TYPE.userselected,REP.lookup,0)))),0)</f>
        <v>80142.004810397208</v>
      </c>
      <c r="E3" s="126"/>
      <c r="F3" s="127"/>
      <c r="G3" s="127"/>
      <c r="H3" s="127"/>
      <c r="I3" s="127"/>
      <c r="J3" s="127"/>
      <c r="K3" s="127"/>
      <c r="L3" s="127"/>
      <c r="M3" s="127"/>
      <c r="N3" s="127"/>
      <c r="O3" s="127"/>
      <c r="P3" s="127"/>
      <c r="Q3" s="127"/>
      <c r="R3" s="127"/>
      <c r="S3" s="127"/>
      <c r="T3" s="127"/>
      <c r="U3" s="127"/>
      <c r="V3" s="127"/>
      <c r="W3" s="127"/>
      <c r="X3" s="128"/>
    </row>
    <row r="4" spans="1:25" ht="26.45" customHeight="1" x14ac:dyDescent="0.2">
      <c r="E4" s="211"/>
      <c r="F4" s="212"/>
      <c r="G4" s="212"/>
      <c r="H4" s="212"/>
      <c r="I4" s="212"/>
      <c r="J4" s="212"/>
      <c r="K4" s="212"/>
      <c r="L4" s="212"/>
      <c r="M4" s="212"/>
      <c r="N4" s="212"/>
      <c r="O4" s="212"/>
      <c r="P4" s="212"/>
      <c r="Q4" s="212"/>
      <c r="R4" s="212"/>
      <c r="S4" s="212"/>
      <c r="T4" s="212"/>
      <c r="U4" s="212"/>
      <c r="V4" s="212"/>
      <c r="W4" s="212"/>
      <c r="X4" s="213"/>
    </row>
    <row r="5" spans="1:25"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5" ht="16.149999999999999" customHeight="1" thickTop="1" x14ac:dyDescent="0.2">
      <c r="E6" s="401" t="str">
        <f>REP.title1</f>
        <v>STEAM FINAL TREND REPORT FOR 2009-2013</v>
      </c>
      <c r="F6" s="402"/>
      <c r="G6" s="402"/>
      <c r="H6" s="402"/>
      <c r="I6" s="402"/>
      <c r="J6" s="402"/>
      <c r="K6" s="402"/>
      <c r="L6" s="402"/>
      <c r="M6" s="402"/>
      <c r="N6" s="1077"/>
      <c r="O6" s="1078"/>
      <c r="P6" s="1079" t="str">
        <f>MIN(REP.yearsrange)&amp;" to "&amp;MAX(REP.yearsrange)</f>
        <v>2009 to 2013</v>
      </c>
      <c r="Q6" s="1080"/>
      <c r="R6" s="1081"/>
      <c r="S6" s="1067" t="s">
        <v>39</v>
      </c>
      <c r="T6" s="1068"/>
      <c r="U6" s="1071" t="str">
        <f>IF(REP.indexed="YES","SECTORAL ANALYSIS"&amp;CHAR(10)&amp;"Indexed","SECTORAL ANALYSIS"&amp;CHAR(10)&amp;"Historic Prices")</f>
        <v>SECTORAL ANALYSIS
Historic Prices</v>
      </c>
      <c r="V6" s="1072"/>
      <c r="W6" s="1072"/>
      <c r="X6" s="1073"/>
    </row>
    <row r="7" spans="1:25" ht="16.149999999999999" customHeight="1" thickBot="1" x14ac:dyDescent="0.25">
      <c r="E7" s="403" t="str">
        <f>REP.title2</f>
        <v>MORAY HIE</v>
      </c>
      <c r="F7" s="404"/>
      <c r="G7" s="404"/>
      <c r="H7" s="404"/>
      <c r="I7" s="405"/>
      <c r="J7" s="405"/>
      <c r="K7" s="405"/>
      <c r="L7" s="405"/>
      <c r="M7" s="847"/>
      <c r="N7" s="847"/>
      <c r="O7" s="848"/>
      <c r="P7" s="1082" t="str">
        <f>IF(REP.indexed="YES",MAX(REP.yearsrange)&amp;" Prices","Historic Prices")</f>
        <v>Historic Prices</v>
      </c>
      <c r="Q7" s="1083"/>
      <c r="R7" s="1084"/>
      <c r="S7" s="1069"/>
      <c r="T7" s="1070"/>
      <c r="U7" s="1074"/>
      <c r="V7" s="1075"/>
      <c r="W7" s="1075"/>
      <c r="X7" s="1076"/>
    </row>
    <row r="8" spans="1:25" s="132" customFormat="1" ht="16.149999999999999" customHeight="1" thickTop="1" thickBot="1" x14ac:dyDescent="0.25">
      <c r="E8" s="946" t="str">
        <f>UPPER('COMPARATIVE HEADLINES'!E25)</f>
        <v xml:space="preserve">SECTORAL DISTRIBUTION OF ECONOMIC IMPACT - £M INCLUDING VAT IN HISTORIC PRICES </v>
      </c>
      <c r="F8" s="947"/>
      <c r="G8" s="947"/>
      <c r="H8" s="947"/>
      <c r="I8" s="947"/>
      <c r="J8" s="947"/>
      <c r="K8" s="947"/>
      <c r="L8" s="947"/>
      <c r="M8" s="947"/>
      <c r="N8" s="947"/>
      <c r="O8" s="947"/>
      <c r="P8" s="947"/>
      <c r="Q8" s="947"/>
      <c r="R8" s="948"/>
      <c r="S8" s="1058"/>
      <c r="T8" s="1059"/>
      <c r="U8" s="1059"/>
      <c r="V8" s="1059"/>
      <c r="W8" s="1059"/>
      <c r="X8" s="1060"/>
    </row>
    <row r="9" spans="1:25" ht="16.149999999999999" customHeight="1" thickTop="1" thickBot="1" x14ac:dyDescent="0.25">
      <c r="E9" s="1056" t="s">
        <v>145</v>
      </c>
      <c r="F9" s="1057"/>
      <c r="G9" s="217">
        <f t="array" ref="G9:R9">TRANSPOSE(REP.yearsrange)</f>
        <v>2009</v>
      </c>
      <c r="H9" s="217">
        <v>2010</v>
      </c>
      <c r="I9" s="217">
        <v>2011</v>
      </c>
      <c r="J9" s="217">
        <v>2012</v>
      </c>
      <c r="K9" s="217">
        <v>2013</v>
      </c>
      <c r="L9" s="217">
        <v>0</v>
      </c>
      <c r="M9" s="217">
        <v>0</v>
      </c>
      <c r="N9" s="217">
        <v>0</v>
      </c>
      <c r="O9" s="217">
        <v>0</v>
      </c>
      <c r="P9" s="217">
        <v>0</v>
      </c>
      <c r="Q9" s="217">
        <v>0</v>
      </c>
      <c r="R9" s="217">
        <v>0</v>
      </c>
      <c r="S9" s="218">
        <f>CHARTYEAR</f>
        <v>2013</v>
      </c>
      <c r="T9" s="219"/>
      <c r="U9" s="220"/>
      <c r="V9" s="220"/>
      <c r="W9" s="220"/>
      <c r="X9" s="220"/>
    </row>
    <row r="10" spans="1:25" ht="16.149999999999999" customHeight="1" thickTop="1" thickBot="1" x14ac:dyDescent="0.25">
      <c r="E10" s="221" t="s">
        <v>24</v>
      </c>
      <c r="F10" s="201" t="str">
        <f ca="1">IF($A$2=1,"£000s",IF(A2=1000,"£M","£Bn"))</f>
        <v>£M</v>
      </c>
      <c r="G10" s="649">
        <f t="array" aca="1" ref="G10:G19" ca="1">IFERROR(INDEX(DATA!$T:$T,MATCH(G$9&amp;".ECONOMIC IMPACT."&amp;$E10:$E19,REP.lookup,0))*INDEX(REP.indexationfactors,MATCH(G$9,REP.yearsrange,0))/$A$2,"")</f>
        <v>15.623426551961717</v>
      </c>
      <c r="H10" s="649">
        <f t="array" aca="1" ref="H10:H19" ca="1">IFERROR(INDEX(DATA!$T:$T,MATCH(H$9&amp;".ECONOMIC IMPACT."&amp;$E10:$E19,REP.lookup,0))*INDEX(REP.indexationfactors,MATCH(H$9,REP.yearsrange,0))/$A$2,"")</f>
        <v>15.666971073990137</v>
      </c>
      <c r="I10" s="649">
        <f t="array" aca="1" ref="I10:I19" ca="1">IFERROR(INDEX(DATA!$T:$T,MATCH(I$9&amp;".ECONOMIC IMPACT."&amp;$E10:$E19,REP.lookup,0))*INDEX(REP.indexationfactors,MATCH(I$9,REP.yearsrange,0))/$A$2,"")</f>
        <v>14.824182141061637</v>
      </c>
      <c r="J10" s="649">
        <f t="array" aca="1" ref="J10:J19" ca="1">IFERROR(INDEX(DATA!$T:$T,MATCH(J$9&amp;".ECONOMIC IMPACT."&amp;$E10:$E19,REP.lookup,0))*INDEX(REP.indexationfactors,MATCH(J$9,REP.yearsrange,0))/$A$2,"")</f>
        <v>15.248205816720356</v>
      </c>
      <c r="K10" s="649">
        <f t="array" aca="1" ref="K10:K19" ca="1">IFERROR(INDEX(DATA!$T:$T,MATCH(K$9&amp;".ECONOMIC IMPACT."&amp;$E10:$E19,REP.lookup,0))*INDEX(REP.indexationfactors,MATCH(K$9,REP.yearsrange,0))/$A$2,"")</f>
        <v>16.172241697548447</v>
      </c>
      <c r="L10" s="649" t="str">
        <f t="array" aca="1" ref="L10:L19" ca="1">IFERROR(INDEX(DATA!$T:$T,MATCH(L$9&amp;".ECONOMIC IMPACT."&amp;$E10:$E19,REP.lookup,0))*INDEX(REP.indexationfactors,MATCH(L$9,REP.yearsrange,0))/$A$2,"")</f>
        <v/>
      </c>
      <c r="M10" s="649" t="str">
        <f t="array" aca="1" ref="M10:M19" ca="1">IFERROR(INDEX(DATA!$T:$T,MATCH(M$9&amp;".ECONOMIC IMPACT."&amp;$E10:$E19,REP.lookup,0))*INDEX(REP.indexationfactors,MATCH(M$9,REP.yearsrange,0))/$A$2,"")</f>
        <v/>
      </c>
      <c r="N10" s="649" t="str">
        <f t="array" aca="1" ref="N10:N19" ca="1">IFERROR(INDEX(DATA!$T:$T,MATCH(N$9&amp;".ECONOMIC IMPACT."&amp;$E10:$E19,REP.lookup,0))*INDEX(REP.indexationfactors,MATCH(N$9,REP.yearsrange,0))/$A$2,"")</f>
        <v/>
      </c>
      <c r="O10" s="649" t="str">
        <f t="array" aca="1" ref="O10:O19" ca="1">IFERROR(INDEX(DATA!$T:$T,MATCH(O$9&amp;".ECONOMIC IMPACT."&amp;$E10:$E19,REP.lookup,0))*INDEX(REP.indexationfactors,MATCH(O$9,REP.yearsrange,0))/$A$2,"")</f>
        <v/>
      </c>
      <c r="P10" s="649" t="str">
        <f t="array" aca="1" ref="P10:P19" ca="1">IFERROR(INDEX(DATA!$T:$T,MATCH(P$9&amp;".ECONOMIC IMPACT."&amp;$E10:$E19,REP.lookup,0))*INDEX(REP.indexationfactors,MATCH(P$9,REP.yearsrange,0))/$A$2,"")</f>
        <v/>
      </c>
      <c r="Q10" s="649" t="str">
        <f t="array" aca="1" ref="Q10:Q19" ca="1">IFERROR(INDEX(DATA!$T:$T,MATCH(Q$9&amp;".ECONOMIC IMPACT."&amp;$E10:$E19,REP.lookup,0))*INDEX(REP.indexationfactors,MATCH(Q$9,REP.yearsrange,0))/$A$2,"")</f>
        <v/>
      </c>
      <c r="R10" s="649" t="str">
        <f t="array" aca="1" ref="R10:R19" ca="1">IFERROR(INDEX(DATA!$T:$T,MATCH(R$9&amp;".ECONOMIC IMPACT."&amp;$E10:$E19,REP.lookup,0))*INDEX(REP.indexationfactors,MATCH(R$9,REP.yearsrange,0))/$A$2,"")</f>
        <v/>
      </c>
      <c r="S10" s="367">
        <f ca="1">INDEX($G10:$R10,0,MATCH($S$9,$G$9:$R$9,0))</f>
        <v>16.172241697548447</v>
      </c>
      <c r="T10" s="223">
        <f t="shared" ref="T10:T19" ca="1" si="0">S10/$S$19</f>
        <v>0.1709035405334757</v>
      </c>
      <c r="U10" s="224" t="str">
        <f ca="1">E10&amp;" ("&amp;TEXT(T10,"0.0%")&amp;")"</f>
        <v>Accommodation (17.1%)</v>
      </c>
      <c r="V10" s="222"/>
      <c r="W10" s="222"/>
      <c r="X10" s="222"/>
      <c r="Y10" s="225"/>
    </row>
    <row r="11" spans="1:25" ht="16.149999999999999" customHeight="1" thickTop="1" thickBot="1" x14ac:dyDescent="0.25">
      <c r="E11" s="226" t="s">
        <v>50</v>
      </c>
      <c r="F11" s="201" t="str">
        <f ca="1">$F$10</f>
        <v>£M</v>
      </c>
      <c r="G11" s="649">
        <f ca="1"/>
        <v>11.542297212085618</v>
      </c>
      <c r="H11" s="649">
        <f ca="1"/>
        <v>11.996301527362666</v>
      </c>
      <c r="I11" s="649">
        <f ca="1"/>
        <v>11.909833595103326</v>
      </c>
      <c r="J11" s="649">
        <f ca="1"/>
        <v>12.541802922409996</v>
      </c>
      <c r="K11" s="649">
        <f ca="1"/>
        <v>13.8825549202842</v>
      </c>
      <c r="L11" s="649" t="str">
        <f ca="1"/>
        <v/>
      </c>
      <c r="M11" s="649" t="str">
        <f ca="1"/>
        <v/>
      </c>
      <c r="N11" s="649" t="str">
        <f ca="1"/>
        <v/>
      </c>
      <c r="O11" s="649" t="str">
        <f ca="1"/>
        <v/>
      </c>
      <c r="P11" s="649" t="str">
        <f ca="1"/>
        <v/>
      </c>
      <c r="Q11" s="649" t="str">
        <f ca="1"/>
        <v/>
      </c>
      <c r="R11" s="649" t="str">
        <f ca="1"/>
        <v/>
      </c>
      <c r="S11" s="367">
        <f t="shared" ref="S11:S19" ca="1" si="1">INDEX($G11:$R11,0,MATCH($S$9,$G$9:$R$9,0))</f>
        <v>13.8825549202842</v>
      </c>
      <c r="T11" s="223">
        <f t="shared" ca="1" si="0"/>
        <v>0.1467067974804416</v>
      </c>
      <c r="U11" s="224" t="str">
        <f t="shared" ref="U11:U19" ca="1" si="2">E11&amp;" ("&amp;TEXT(T11,"0.0%")&amp;")"</f>
        <v>Food &amp; Drink (14.7%)</v>
      </c>
      <c r="V11" s="222"/>
      <c r="W11" s="222"/>
      <c r="X11" s="222"/>
    </row>
    <row r="12" spans="1:25" ht="16.149999999999999" customHeight="1" thickTop="1" thickBot="1" x14ac:dyDescent="0.25">
      <c r="E12" s="227" t="s">
        <v>51</v>
      </c>
      <c r="F12" s="201" t="str">
        <f t="shared" ref="F12:F19" ca="1" si="3">$F$10</f>
        <v>£M</v>
      </c>
      <c r="G12" s="649">
        <f ca="1"/>
        <v>5.0694505941070869</v>
      </c>
      <c r="H12" s="649">
        <f ca="1"/>
        <v>5.2205603663988205</v>
      </c>
      <c r="I12" s="649">
        <f ca="1"/>
        <v>5.2265339361822463</v>
      </c>
      <c r="J12" s="649">
        <f ca="1"/>
        <v>5.5286259776746949</v>
      </c>
      <c r="K12" s="649">
        <f ca="1"/>
        <v>6.1334760580506273</v>
      </c>
      <c r="L12" s="649" t="str">
        <f ca="1"/>
        <v/>
      </c>
      <c r="M12" s="649" t="str">
        <f ca="1"/>
        <v/>
      </c>
      <c r="N12" s="649" t="str">
        <f ca="1"/>
        <v/>
      </c>
      <c r="O12" s="649" t="str">
        <f ca="1"/>
        <v/>
      </c>
      <c r="P12" s="649" t="str">
        <f ca="1"/>
        <v/>
      </c>
      <c r="Q12" s="649" t="str">
        <f ca="1"/>
        <v/>
      </c>
      <c r="R12" s="649" t="str">
        <f ca="1"/>
        <v/>
      </c>
      <c r="S12" s="367">
        <f t="shared" ca="1" si="1"/>
        <v>6.1334760580506273</v>
      </c>
      <c r="T12" s="223">
        <f t="shared" ca="1" si="0"/>
        <v>6.4816788773139594E-2</v>
      </c>
      <c r="U12" s="224" t="str">
        <f t="shared" ca="1" si="2"/>
        <v>Recreation (6.5%)</v>
      </c>
      <c r="V12" s="222"/>
      <c r="W12" s="222"/>
      <c r="X12" s="222"/>
    </row>
    <row r="13" spans="1:25" ht="16.149999999999999" customHeight="1" thickTop="1" thickBot="1" x14ac:dyDescent="0.25">
      <c r="E13" s="228" t="s">
        <v>52</v>
      </c>
      <c r="F13" s="201" t="str">
        <f t="shared" ca="1" si="3"/>
        <v>£M</v>
      </c>
      <c r="G13" s="649">
        <f ca="1"/>
        <v>6.8465162714807617</v>
      </c>
      <c r="H13" s="649">
        <f ca="1"/>
        <v>7.1179398409446062</v>
      </c>
      <c r="I13" s="649">
        <f ca="1"/>
        <v>7.0319854924669807</v>
      </c>
      <c r="J13" s="649">
        <f ca="1"/>
        <v>7.2983298460441173</v>
      </c>
      <c r="K13" s="649">
        <f ca="1"/>
        <v>8.0478093607509109</v>
      </c>
      <c r="L13" s="649" t="str">
        <f ca="1"/>
        <v/>
      </c>
      <c r="M13" s="649" t="str">
        <f ca="1"/>
        <v/>
      </c>
      <c r="N13" s="649" t="str">
        <f ca="1"/>
        <v/>
      </c>
      <c r="O13" s="649" t="str">
        <f ca="1"/>
        <v/>
      </c>
      <c r="P13" s="649" t="str">
        <f ca="1"/>
        <v/>
      </c>
      <c r="Q13" s="649" t="str">
        <f ca="1"/>
        <v/>
      </c>
      <c r="R13" s="649" t="str">
        <f ca="1"/>
        <v/>
      </c>
      <c r="S13" s="367">
        <f t="shared" ca="1" si="1"/>
        <v>8.0478093607509109</v>
      </c>
      <c r="T13" s="223">
        <f t="shared" ca="1" si="0"/>
        <v>8.5046905618487975E-2</v>
      </c>
      <c r="U13" s="224" t="str">
        <f t="shared" ca="1" si="2"/>
        <v>Shopping (8.5%)</v>
      </c>
      <c r="V13" s="222"/>
      <c r="W13" s="222"/>
      <c r="X13" s="222"/>
    </row>
    <row r="14" spans="1:25" ht="16.149999999999999" customHeight="1" thickTop="1" thickBot="1" x14ac:dyDescent="0.25">
      <c r="E14" s="229" t="s">
        <v>53</v>
      </c>
      <c r="F14" s="201" t="str">
        <f t="shared" ca="1" si="3"/>
        <v>£M</v>
      </c>
      <c r="G14" s="649">
        <f ca="1"/>
        <v>13.959779216377628</v>
      </c>
      <c r="H14" s="649">
        <f ca="1"/>
        <v>14.672123286495417</v>
      </c>
      <c r="I14" s="649">
        <f ca="1"/>
        <v>14.503012649551868</v>
      </c>
      <c r="J14" s="649">
        <f ca="1"/>
        <v>14.739120509828004</v>
      </c>
      <c r="K14" s="649">
        <f ca="1"/>
        <v>15.887009599502141</v>
      </c>
      <c r="L14" s="649" t="str">
        <f ca="1"/>
        <v/>
      </c>
      <c r="M14" s="649" t="str">
        <f ca="1"/>
        <v/>
      </c>
      <c r="N14" s="649" t="str">
        <f ca="1"/>
        <v/>
      </c>
      <c r="O14" s="649" t="str">
        <f ca="1"/>
        <v/>
      </c>
      <c r="P14" s="649" t="str">
        <f ca="1"/>
        <v/>
      </c>
      <c r="Q14" s="649" t="str">
        <f ca="1"/>
        <v/>
      </c>
      <c r="R14" s="649" t="str">
        <f ca="1"/>
        <v/>
      </c>
      <c r="S14" s="367">
        <f t="shared" ca="1" si="1"/>
        <v>15.887009599502141</v>
      </c>
      <c r="T14" s="223">
        <f t="shared" ca="1" si="0"/>
        <v>0.16788929078742507</v>
      </c>
      <c r="U14" s="224" t="str">
        <f t="shared" ca="1" si="2"/>
        <v>Transport (16.8%)</v>
      </c>
      <c r="V14" s="222"/>
      <c r="W14" s="222"/>
      <c r="X14" s="222"/>
    </row>
    <row r="15" spans="1:25" ht="16.149999999999999" customHeight="1" thickTop="1" thickBot="1" x14ac:dyDescent="0.25">
      <c r="E15" s="230" t="s">
        <v>47</v>
      </c>
      <c r="F15" s="201" t="str">
        <f t="shared" ca="1" si="3"/>
        <v>£M</v>
      </c>
      <c r="G15" s="650">
        <f ca="1"/>
        <v>53.041469846012816</v>
      </c>
      <c r="H15" s="650">
        <f ca="1"/>
        <v>54.673896095191637</v>
      </c>
      <c r="I15" s="650">
        <f ca="1"/>
        <v>53.495547814366041</v>
      </c>
      <c r="J15" s="650">
        <f ca="1"/>
        <v>55.356085072677175</v>
      </c>
      <c r="K15" s="650">
        <f ca="1"/>
        <v>60.123091636136323</v>
      </c>
      <c r="L15" s="650" t="str">
        <f ca="1"/>
        <v/>
      </c>
      <c r="M15" s="650" t="str">
        <f ca="1"/>
        <v/>
      </c>
      <c r="N15" s="650" t="str">
        <f ca="1"/>
        <v/>
      </c>
      <c r="O15" s="650" t="str">
        <f ca="1"/>
        <v/>
      </c>
      <c r="P15" s="650" t="str">
        <f ca="1"/>
        <v/>
      </c>
      <c r="Q15" s="650" t="str">
        <f ca="1"/>
        <v/>
      </c>
      <c r="R15" s="650" t="str">
        <f ca="1"/>
        <v/>
      </c>
      <c r="S15" s="367">
        <f t="shared" ca="1" si="1"/>
        <v>60.123091636136323</v>
      </c>
      <c r="T15" s="223">
        <f t="shared" ca="1" si="0"/>
        <v>0.63536332319296984</v>
      </c>
      <c r="U15" s="224" t="str">
        <f t="shared" ca="1" si="2"/>
        <v>Direct Revenue (63.5%)</v>
      </c>
      <c r="V15" s="222"/>
      <c r="W15" s="222"/>
      <c r="X15" s="222"/>
    </row>
    <row r="16" spans="1:25" ht="16.149999999999999" customHeight="1" thickTop="1" thickBot="1" x14ac:dyDescent="0.25">
      <c r="E16" s="366" t="s">
        <v>48</v>
      </c>
      <c r="F16" s="201" t="str">
        <f t="shared" ca="1" si="3"/>
        <v>£M</v>
      </c>
      <c r="G16" s="649">
        <f ca="1"/>
        <v>7.9562204769019216</v>
      </c>
      <c r="H16" s="649">
        <f ca="1"/>
        <v>9.5679318166585361</v>
      </c>
      <c r="I16" s="649">
        <f ca="1"/>
        <v>10.699109562873215</v>
      </c>
      <c r="J16" s="649">
        <f ca="1"/>
        <v>11.071217014535435</v>
      </c>
      <c r="K16" s="649">
        <f ca="1"/>
        <v>12.024618327227268</v>
      </c>
      <c r="L16" s="649" t="str">
        <f ca="1"/>
        <v/>
      </c>
      <c r="M16" s="649" t="str">
        <f ca="1"/>
        <v/>
      </c>
      <c r="N16" s="649" t="str">
        <f ca="1"/>
        <v/>
      </c>
      <c r="O16" s="649" t="str">
        <f ca="1"/>
        <v/>
      </c>
      <c r="P16" s="649" t="str">
        <f ca="1"/>
        <v/>
      </c>
      <c r="Q16" s="649" t="str">
        <f ca="1"/>
        <v/>
      </c>
      <c r="R16" s="649" t="str">
        <f ca="1"/>
        <v/>
      </c>
      <c r="S16" s="367">
        <f t="shared" ca="1" si="1"/>
        <v>12.024618327227268</v>
      </c>
      <c r="T16" s="223">
        <f t="shared" ca="1" si="0"/>
        <v>0.12707266463859401</v>
      </c>
      <c r="U16" s="224" t="str">
        <f t="shared" ca="1" si="2"/>
        <v>VAT (12.7%)</v>
      </c>
      <c r="V16" s="222"/>
      <c r="W16" s="222"/>
      <c r="X16" s="222"/>
    </row>
    <row r="17" spans="4:24" ht="16.149999999999999" customHeight="1" thickTop="1" thickBot="1" x14ac:dyDescent="0.25">
      <c r="E17" s="231" t="s">
        <v>45</v>
      </c>
      <c r="F17" s="201" t="str">
        <f t="shared" ca="1" si="3"/>
        <v>£M</v>
      </c>
      <c r="G17" s="651">
        <f ca="1"/>
        <v>60.997690322914728</v>
      </c>
      <c r="H17" s="651">
        <f ca="1"/>
        <v>64.24182791185018</v>
      </c>
      <c r="I17" s="651">
        <f ca="1"/>
        <v>64.194657377239267</v>
      </c>
      <c r="J17" s="651">
        <f ca="1"/>
        <v>66.42730208721261</v>
      </c>
      <c r="K17" s="651">
        <f ca="1"/>
        <v>72.147709963363582</v>
      </c>
      <c r="L17" s="651" t="str">
        <f ca="1"/>
        <v/>
      </c>
      <c r="M17" s="651" t="str">
        <f ca="1"/>
        <v/>
      </c>
      <c r="N17" s="651" t="str">
        <f ca="1"/>
        <v/>
      </c>
      <c r="O17" s="651" t="str">
        <f ca="1"/>
        <v/>
      </c>
      <c r="P17" s="651" t="str">
        <f ca="1"/>
        <v/>
      </c>
      <c r="Q17" s="651" t="str">
        <f ca="1"/>
        <v/>
      </c>
      <c r="R17" s="651" t="str">
        <f ca="1"/>
        <v/>
      </c>
      <c r="S17" s="367">
        <f t="shared" ca="1" si="1"/>
        <v>72.147709963363582</v>
      </c>
      <c r="T17" s="223">
        <f t="shared" ca="1" si="0"/>
        <v>0.76243598783156386</v>
      </c>
      <c r="U17" s="224" t="str">
        <f t="shared" ca="1" si="2"/>
        <v>Direct Expenditure (76.2%)</v>
      </c>
      <c r="V17" s="222"/>
      <c r="W17" s="222"/>
      <c r="X17" s="222"/>
    </row>
    <row r="18" spans="4:24" ht="16.149999999999999" customHeight="1" thickTop="1" thickBot="1" x14ac:dyDescent="0.25">
      <c r="E18" s="232" t="s">
        <v>46</v>
      </c>
      <c r="F18" s="201" t="str">
        <f t="shared" ca="1" si="3"/>
        <v>£M</v>
      </c>
      <c r="G18" s="652">
        <f ca="1"/>
        <v>19.144314487482461</v>
      </c>
      <c r="H18" s="652">
        <f ca="1"/>
        <v>20.30658437644523</v>
      </c>
      <c r="I18" s="652">
        <f ca="1"/>
        <v>20.089329077183439</v>
      </c>
      <c r="J18" s="652">
        <f ca="1"/>
        <v>20.684443560710886</v>
      </c>
      <c r="K18" s="652">
        <f ca="1"/>
        <v>22.480181577483162</v>
      </c>
      <c r="L18" s="652" t="str">
        <f ca="1"/>
        <v/>
      </c>
      <c r="M18" s="652" t="str">
        <f ca="1"/>
        <v/>
      </c>
      <c r="N18" s="652" t="str">
        <f ca="1"/>
        <v/>
      </c>
      <c r="O18" s="652" t="str">
        <f ca="1"/>
        <v/>
      </c>
      <c r="P18" s="652" t="str">
        <f ca="1"/>
        <v/>
      </c>
      <c r="Q18" s="652" t="str">
        <f ca="1"/>
        <v/>
      </c>
      <c r="R18" s="652" t="str">
        <f ca="1"/>
        <v/>
      </c>
      <c r="S18" s="367">
        <f t="shared" ca="1" si="1"/>
        <v>22.480181577483162</v>
      </c>
      <c r="T18" s="223">
        <f t="shared" ca="1" si="0"/>
        <v>0.23756401216843601</v>
      </c>
      <c r="U18" s="224" t="str">
        <f t="shared" ca="1" si="2"/>
        <v>Indirect Expenditure (23.8%)</v>
      </c>
      <c r="V18" s="222"/>
      <c r="W18" s="222"/>
      <c r="X18" s="222"/>
    </row>
    <row r="19" spans="4:24" ht="16.149999999999999" customHeight="1" thickTop="1" thickBot="1" x14ac:dyDescent="0.25">
      <c r="E19" s="233" t="s">
        <v>39</v>
      </c>
      <c r="F19" s="201" t="str">
        <f t="shared" ca="1" si="3"/>
        <v>£M</v>
      </c>
      <c r="G19" s="653">
        <f ca="1"/>
        <v>80.142004810397211</v>
      </c>
      <c r="H19" s="653">
        <f ca="1"/>
        <v>84.54841228829541</v>
      </c>
      <c r="I19" s="653">
        <f ca="1"/>
        <v>84.283986454422703</v>
      </c>
      <c r="J19" s="653">
        <f ca="1"/>
        <v>87.111745647923485</v>
      </c>
      <c r="K19" s="653">
        <f ca="1"/>
        <v>94.627891540846761</v>
      </c>
      <c r="L19" s="653" t="str">
        <f ca="1"/>
        <v/>
      </c>
      <c r="M19" s="653" t="str">
        <f ca="1"/>
        <v/>
      </c>
      <c r="N19" s="653" t="str">
        <f ca="1"/>
        <v/>
      </c>
      <c r="O19" s="653" t="str">
        <f ca="1"/>
        <v/>
      </c>
      <c r="P19" s="653" t="str">
        <f ca="1"/>
        <v/>
      </c>
      <c r="Q19" s="653" t="str">
        <f ca="1"/>
        <v/>
      </c>
      <c r="R19" s="653" t="str">
        <f ca="1"/>
        <v/>
      </c>
      <c r="S19" s="367">
        <f t="shared" ca="1" si="1"/>
        <v>94.627891540846761</v>
      </c>
      <c r="T19" s="223">
        <f t="shared" ca="1" si="0"/>
        <v>1</v>
      </c>
      <c r="U19" s="224" t="str">
        <f t="shared" ca="1" si="2"/>
        <v>TOTAL (100.0%)</v>
      </c>
      <c r="V19" s="234"/>
      <c r="W19" s="234"/>
      <c r="X19" s="234"/>
    </row>
    <row r="20" spans="4:24" ht="16.149999999999999" customHeight="1" thickTop="1" thickBot="1" x14ac:dyDescent="0.25">
      <c r="E20" s="235"/>
      <c r="F20" s="236"/>
      <c r="G20" s="654"/>
      <c r="H20" s="654"/>
      <c r="I20" s="654"/>
      <c r="J20" s="654"/>
      <c r="K20" s="654"/>
      <c r="L20" s="654"/>
      <c r="M20" s="654"/>
      <c r="N20" s="654"/>
      <c r="O20" s="654"/>
      <c r="P20" s="654"/>
      <c r="Q20" s="654"/>
      <c r="R20" s="654"/>
      <c r="S20" s="367"/>
      <c r="T20" s="237"/>
      <c r="U20" s="234"/>
      <c r="V20" s="234"/>
      <c r="W20" s="234"/>
      <c r="X20" s="234"/>
    </row>
    <row r="21" spans="4:24" ht="16.149999999999999" customHeight="1" thickTop="1" thickBot="1" x14ac:dyDescent="0.25">
      <c r="D21" s="203"/>
      <c r="E21" s="235"/>
      <c r="F21" s="236"/>
      <c r="G21" s="655"/>
      <c r="H21" s="655"/>
      <c r="I21" s="655"/>
      <c r="J21" s="655"/>
      <c r="K21" s="655"/>
      <c r="L21" s="655"/>
      <c r="M21" s="655"/>
      <c r="N21" s="655"/>
      <c r="O21" s="655"/>
      <c r="P21" s="655"/>
      <c r="Q21" s="655"/>
      <c r="R21" s="655"/>
      <c r="S21" s="367"/>
      <c r="T21" s="238"/>
      <c r="U21" s="238"/>
      <c r="V21" s="238"/>
      <c r="W21" s="238"/>
      <c r="X21" s="238"/>
    </row>
    <row r="22" spans="4:24" ht="16.149999999999999" customHeight="1" thickTop="1" thickBot="1" x14ac:dyDescent="0.25">
      <c r="D22" s="203"/>
      <c r="E22" s="235"/>
      <c r="F22" s="236"/>
      <c r="G22" s="655"/>
      <c r="H22" s="655"/>
      <c r="I22" s="655"/>
      <c r="J22" s="655"/>
      <c r="K22" s="655"/>
      <c r="L22" s="655"/>
      <c r="M22" s="655"/>
      <c r="N22" s="655"/>
      <c r="O22" s="655"/>
      <c r="P22" s="655"/>
      <c r="Q22" s="655"/>
      <c r="R22" s="655"/>
      <c r="S22" s="683"/>
      <c r="T22" s="684"/>
      <c r="U22" s="684"/>
      <c r="V22" s="684"/>
      <c r="W22" s="684"/>
      <c r="X22" s="685"/>
    </row>
    <row r="23" spans="4:24" ht="16.149999999999999" customHeight="1" thickTop="1" thickBot="1" x14ac:dyDescent="0.25">
      <c r="E23" s="1064" t="str">
        <f>UPPER('COMPARATIVE HEADLINES'!P25)</f>
        <v>SECTORAL DISTRIBUTION OF EMPLOYMENT - FTES</v>
      </c>
      <c r="F23" s="1065"/>
      <c r="G23" s="1065"/>
      <c r="H23" s="1065"/>
      <c r="I23" s="1065"/>
      <c r="J23" s="1065"/>
      <c r="K23" s="1065"/>
      <c r="L23" s="1065"/>
      <c r="M23" s="1065"/>
      <c r="N23" s="1065"/>
      <c r="O23" s="1065"/>
      <c r="P23" s="1065"/>
      <c r="Q23" s="1065"/>
      <c r="R23" s="1066"/>
      <c r="S23" s="1061"/>
      <c r="T23" s="1062"/>
      <c r="U23" s="1062"/>
      <c r="V23" s="1062"/>
      <c r="W23" s="1062"/>
      <c r="X23" s="1063"/>
    </row>
    <row r="24" spans="4:24" ht="16.149999999999999" customHeight="1" thickTop="1" thickBot="1" x14ac:dyDescent="0.25">
      <c r="E24" s="1056" t="s">
        <v>145</v>
      </c>
      <c r="F24" s="1057"/>
      <c r="G24" s="217">
        <f t="array" ref="G24:R24">TRANSPOSE(REP.yearsrange)</f>
        <v>2009</v>
      </c>
      <c r="H24" s="217">
        <v>2010</v>
      </c>
      <c r="I24" s="217">
        <v>2011</v>
      </c>
      <c r="J24" s="217">
        <v>2012</v>
      </c>
      <c r="K24" s="217">
        <v>2013</v>
      </c>
      <c r="L24" s="217">
        <v>0</v>
      </c>
      <c r="M24" s="217">
        <v>0</v>
      </c>
      <c r="N24" s="217">
        <v>0</v>
      </c>
      <c r="O24" s="217">
        <v>0</v>
      </c>
      <c r="P24" s="217">
        <v>0</v>
      </c>
      <c r="Q24" s="217">
        <v>0</v>
      </c>
      <c r="R24" s="217">
        <v>0</v>
      </c>
      <c r="S24" s="239">
        <f>CHARTYEAR</f>
        <v>2013</v>
      </c>
      <c r="T24" s="238"/>
      <c r="U24" s="238"/>
      <c r="V24" s="238"/>
      <c r="W24" s="238"/>
      <c r="X24" s="238"/>
    </row>
    <row r="25" spans="4:24" ht="16.149999999999999" customHeight="1" thickTop="1" thickBot="1" x14ac:dyDescent="0.25">
      <c r="E25" s="221" t="s">
        <v>24</v>
      </c>
      <c r="F25" s="201" t="s">
        <v>60</v>
      </c>
      <c r="G25" s="656">
        <f t="array" ref="G25:G32">IFERROR(INDEX(DATA!$T:$T,MATCH(G$9&amp;".Employment."&amp;$E25:$E32,REP.lookup,0)),"")</f>
        <v>1354.3116435842251</v>
      </c>
      <c r="H25" s="656">
        <f t="array" ref="H25:H32">IFERROR(INDEX(DATA!$T:$T,MATCH(H$9&amp;".Employment."&amp;$E25:$E32,REP.lookup,0)),"")</f>
        <v>1349.8397753046552</v>
      </c>
      <c r="I25" s="656">
        <f t="array" ref="I25:I32">IFERROR(INDEX(DATA!$T:$T,MATCH(I$9&amp;".Employment."&amp;$E25:$E32,REP.lookup,0)),"")</f>
        <v>1340.2169495161513</v>
      </c>
      <c r="J25" s="656">
        <f t="array" ref="J25:J32">IFERROR(INDEX(DATA!$T:$T,MATCH(J$9&amp;".Employment."&amp;$E25:$E32,REP.lookup,0)),"")</f>
        <v>1353.8194582076546</v>
      </c>
      <c r="K25" s="656">
        <f t="array" ref="K25:K32">IFERROR(INDEX(DATA!$T:$T,MATCH(K$9&amp;".Employment."&amp;$E25:$E32,REP.lookup,0)),"")</f>
        <v>1374.5173892001558</v>
      </c>
      <c r="L25" s="656" t="str">
        <f t="array" ref="L25:L32">IFERROR(INDEX(DATA!$T:$T,MATCH(L$9&amp;".Employment."&amp;$E25:$E32,REP.lookup,0)),"")</f>
        <v/>
      </c>
      <c r="M25" s="656" t="str">
        <f t="array" ref="M25:M32">IFERROR(INDEX(DATA!$T:$T,MATCH(M$9&amp;".Employment."&amp;$E25:$E32,REP.lookup,0)),"")</f>
        <v/>
      </c>
      <c r="N25" s="656" t="str">
        <f t="array" ref="N25:N32">IFERROR(INDEX(DATA!$T:$T,MATCH(N$9&amp;".Employment."&amp;$E25:$E32,REP.lookup,0)),"")</f>
        <v/>
      </c>
      <c r="O25" s="656" t="str">
        <f t="array" ref="O25:O32">IFERROR(INDEX(DATA!$T:$T,MATCH(O$9&amp;".Employment."&amp;$E25:$E32,REP.lookup,0)),"")</f>
        <v/>
      </c>
      <c r="P25" s="656" t="str">
        <f t="array" ref="P25:P32">IFERROR(INDEX(DATA!$T:$T,MATCH(P$9&amp;".Employment."&amp;$E25:$E32,REP.lookup,0)),"")</f>
        <v/>
      </c>
      <c r="Q25" s="656" t="str">
        <f t="array" ref="Q25:Q32">IFERROR(INDEX(DATA!$T:$T,MATCH(Q$9&amp;".Employment."&amp;$E25:$E32,REP.lookup,0)),"")</f>
        <v/>
      </c>
      <c r="R25" s="656" t="str">
        <f t="array" ref="R25:R32">IFERROR(INDEX(DATA!$T:$T,MATCH(R$9&amp;".Employment."&amp;$E25:$E32,REP.lookup,0)),"")</f>
        <v/>
      </c>
      <c r="S25" s="240">
        <f>INDEX($G25:$R25,0,MATCH($S$9,$G$9:$R$9,0))</f>
        <v>1374.5173892001558</v>
      </c>
      <c r="T25" s="241">
        <f t="shared" ref="T25:T32" si="4">S25/$S$32</f>
        <v>0.51280028377837839</v>
      </c>
      <c r="U25" s="224" t="str">
        <f>E25&amp;" ("&amp;TEXT(T25,"0.0%")&amp;")"</f>
        <v>Accommodation (51.3%)</v>
      </c>
      <c r="V25" s="238"/>
      <c r="W25" s="238"/>
      <c r="X25" s="238"/>
    </row>
    <row r="26" spans="4:24" ht="16.149999999999999" customHeight="1" thickTop="1" thickBot="1" x14ac:dyDescent="0.25">
      <c r="E26" s="226" t="s">
        <v>50</v>
      </c>
      <c r="F26" s="201" t="s">
        <v>60</v>
      </c>
      <c r="G26" s="656">
        <v>298.23073200067347</v>
      </c>
      <c r="H26" s="656">
        <v>298.72206307997573</v>
      </c>
      <c r="I26" s="656">
        <v>282.18385283879633</v>
      </c>
      <c r="J26" s="656">
        <v>285.91938753425239</v>
      </c>
      <c r="K26" s="656">
        <v>306.4320889514039</v>
      </c>
      <c r="L26" s="656" t="str">
        <v/>
      </c>
      <c r="M26" s="656" t="str">
        <v/>
      </c>
      <c r="N26" s="656" t="str">
        <v/>
      </c>
      <c r="O26" s="656" t="str">
        <v/>
      </c>
      <c r="P26" s="656" t="str">
        <v/>
      </c>
      <c r="Q26" s="656" t="str">
        <v/>
      </c>
      <c r="R26" s="656" t="str">
        <v/>
      </c>
      <c r="S26" s="240">
        <f t="shared" ref="S26:S35" si="5">INDEX($G26:$R26,0,MATCH($S$9,$G$9:$R$9,0))</f>
        <v>306.4320889514039</v>
      </c>
      <c r="T26" s="241">
        <f t="shared" si="4"/>
        <v>0.11432264401145301</v>
      </c>
      <c r="U26" s="224" t="str">
        <f t="shared" ref="U26:U32" si="6">E26&amp;" ("&amp;TEXT(T26,"0.0%")&amp;")"</f>
        <v>Food &amp; Drink (11.4%)</v>
      </c>
      <c r="V26" s="238"/>
      <c r="W26" s="238"/>
      <c r="X26" s="238"/>
    </row>
    <row r="27" spans="4:24" ht="16.149999999999999" customHeight="1" thickTop="1" thickBot="1" x14ac:dyDescent="0.25">
      <c r="E27" s="227" t="s">
        <v>51</v>
      </c>
      <c r="F27" s="201" t="s">
        <v>60</v>
      </c>
      <c r="G27" s="656">
        <v>130.110040809011</v>
      </c>
      <c r="H27" s="656">
        <v>129.12990324081088</v>
      </c>
      <c r="I27" s="656">
        <v>123.00705385861836</v>
      </c>
      <c r="J27" s="656">
        <v>125.19604791733273</v>
      </c>
      <c r="K27" s="656">
        <v>134.48111237263748</v>
      </c>
      <c r="L27" s="656" t="str">
        <v/>
      </c>
      <c r="M27" s="656" t="str">
        <v/>
      </c>
      <c r="N27" s="656" t="str">
        <v/>
      </c>
      <c r="O27" s="656" t="str">
        <v/>
      </c>
      <c r="P27" s="656" t="str">
        <v/>
      </c>
      <c r="Q27" s="656" t="str">
        <v/>
      </c>
      <c r="R27" s="656" t="str">
        <v/>
      </c>
      <c r="S27" s="240">
        <f t="shared" si="5"/>
        <v>134.48111237263748</v>
      </c>
      <c r="T27" s="241">
        <f t="shared" si="4"/>
        <v>5.0171757104979287E-2</v>
      </c>
      <c r="U27" s="224" t="str">
        <f t="shared" si="6"/>
        <v>Recreation (5.0%)</v>
      </c>
      <c r="V27" s="238"/>
      <c r="W27" s="238"/>
      <c r="X27" s="238"/>
    </row>
    <row r="28" spans="4:24" ht="16.149999999999999" customHeight="1" thickTop="1" thickBot="1" x14ac:dyDescent="0.25">
      <c r="E28" s="228" t="s">
        <v>52</v>
      </c>
      <c r="F28" s="201" t="s">
        <v>60</v>
      </c>
      <c r="G28" s="656">
        <v>170.3129083497744</v>
      </c>
      <c r="H28" s="656">
        <v>170.64439153199669</v>
      </c>
      <c r="I28" s="656">
        <v>160.40659154360949</v>
      </c>
      <c r="J28" s="656">
        <v>160.18612632558384</v>
      </c>
      <c r="K28" s="656">
        <v>171.02527636865571</v>
      </c>
      <c r="L28" s="656" t="str">
        <v/>
      </c>
      <c r="M28" s="656" t="str">
        <v/>
      </c>
      <c r="N28" s="656" t="str">
        <v/>
      </c>
      <c r="O28" s="656" t="str">
        <v/>
      </c>
      <c r="P28" s="656" t="str">
        <v/>
      </c>
      <c r="Q28" s="656" t="str">
        <v/>
      </c>
      <c r="R28" s="656" t="str">
        <v/>
      </c>
      <c r="S28" s="240">
        <f t="shared" si="5"/>
        <v>171.02527636865571</v>
      </c>
      <c r="T28" s="241">
        <f t="shared" si="4"/>
        <v>6.3805529813018028E-2</v>
      </c>
      <c r="U28" s="224" t="str">
        <f t="shared" si="6"/>
        <v>Shopping (6.4%)</v>
      </c>
      <c r="V28" s="238"/>
      <c r="W28" s="238"/>
      <c r="X28" s="238"/>
    </row>
    <row r="29" spans="4:24" ht="16.149999999999999" customHeight="1" thickTop="1" thickBot="1" x14ac:dyDescent="0.25">
      <c r="D29" s="203"/>
      <c r="E29" s="229" t="s">
        <v>53</v>
      </c>
      <c r="F29" s="201" t="s">
        <v>60</v>
      </c>
      <c r="G29" s="656">
        <v>309.68790388986548</v>
      </c>
      <c r="H29" s="656">
        <v>313.6883905160218</v>
      </c>
      <c r="I29" s="656">
        <v>295.03276038111477</v>
      </c>
      <c r="J29" s="656">
        <v>288.49663636227274</v>
      </c>
      <c r="K29" s="656">
        <v>301.08737894449274</v>
      </c>
      <c r="L29" s="656" t="str">
        <v/>
      </c>
      <c r="M29" s="656" t="str">
        <v/>
      </c>
      <c r="N29" s="656" t="str">
        <v/>
      </c>
      <c r="O29" s="656" t="str">
        <v/>
      </c>
      <c r="P29" s="656" t="str">
        <v/>
      </c>
      <c r="Q29" s="656" t="str">
        <v/>
      </c>
      <c r="R29" s="656" t="str">
        <v/>
      </c>
      <c r="S29" s="240">
        <f t="shared" si="5"/>
        <v>301.08737894449274</v>
      </c>
      <c r="T29" s="241">
        <f t="shared" si="4"/>
        <v>0.11232865773685806</v>
      </c>
      <c r="U29" s="224" t="str">
        <f t="shared" si="6"/>
        <v>Transport (11.2%)</v>
      </c>
      <c r="V29" s="238"/>
      <c r="W29" s="238"/>
      <c r="X29" s="238"/>
    </row>
    <row r="30" spans="4:24" ht="16.149999999999999" customHeight="1" thickTop="1" thickBot="1" x14ac:dyDescent="0.25">
      <c r="D30" s="203"/>
      <c r="E30" s="231" t="s">
        <v>56</v>
      </c>
      <c r="F30" s="201" t="s">
        <v>60</v>
      </c>
      <c r="G30" s="657">
        <v>2262.6532286335491</v>
      </c>
      <c r="H30" s="657">
        <v>2262.0245236734604</v>
      </c>
      <c r="I30" s="657">
        <v>2200.8472081382906</v>
      </c>
      <c r="J30" s="657">
        <v>2213.6176563470963</v>
      </c>
      <c r="K30" s="657">
        <v>2287.5432458373452</v>
      </c>
      <c r="L30" s="657" t="str">
        <v/>
      </c>
      <c r="M30" s="657" t="str">
        <v/>
      </c>
      <c r="N30" s="657" t="str">
        <v/>
      </c>
      <c r="O30" s="657" t="str">
        <v/>
      </c>
      <c r="P30" s="657" t="str">
        <v/>
      </c>
      <c r="Q30" s="657" t="str">
        <v/>
      </c>
      <c r="R30" s="657" t="str">
        <v/>
      </c>
      <c r="S30" s="240">
        <f t="shared" si="5"/>
        <v>2287.5432458373452</v>
      </c>
      <c r="T30" s="241">
        <f t="shared" si="4"/>
        <v>0.85342887244468657</v>
      </c>
      <c r="U30" s="224" t="str">
        <f t="shared" si="6"/>
        <v>Direct Employment (85.3%)</v>
      </c>
      <c r="V30" s="238"/>
      <c r="W30" s="238"/>
      <c r="X30" s="238"/>
    </row>
    <row r="31" spans="4:24" ht="16.149999999999999" customHeight="1" thickTop="1" thickBot="1" x14ac:dyDescent="0.25">
      <c r="D31" s="203"/>
      <c r="E31" s="232" t="s">
        <v>54</v>
      </c>
      <c r="F31" s="201" t="s">
        <v>60</v>
      </c>
      <c r="G31" s="658">
        <v>408.66657791555286</v>
      </c>
      <c r="H31" s="658">
        <v>408.87065352645641</v>
      </c>
      <c r="I31" s="658">
        <v>376.85792486350311</v>
      </c>
      <c r="J31" s="658">
        <v>373.34748420799406</v>
      </c>
      <c r="K31" s="658">
        <v>392.87139643339407</v>
      </c>
      <c r="L31" s="658" t="str">
        <v/>
      </c>
      <c r="M31" s="658" t="str">
        <v/>
      </c>
      <c r="N31" s="658" t="str">
        <v/>
      </c>
      <c r="O31" s="658" t="str">
        <v/>
      </c>
      <c r="P31" s="658" t="str">
        <v/>
      </c>
      <c r="Q31" s="658" t="str">
        <v/>
      </c>
      <c r="R31" s="658" t="str">
        <v/>
      </c>
      <c r="S31" s="240">
        <f t="shared" si="5"/>
        <v>392.87139643339407</v>
      </c>
      <c r="T31" s="241">
        <f t="shared" si="4"/>
        <v>0.14657112755531332</v>
      </c>
      <c r="U31" s="224" t="str">
        <f t="shared" si="6"/>
        <v>Indirect Employment (14.7%)</v>
      </c>
      <c r="V31" s="238"/>
      <c r="W31" s="238"/>
      <c r="X31" s="238"/>
    </row>
    <row r="32" spans="4:24" ht="16.149999999999999" customHeight="1" thickTop="1" thickBot="1" x14ac:dyDescent="0.25">
      <c r="D32" s="203"/>
      <c r="E32" s="233" t="s">
        <v>39</v>
      </c>
      <c r="F32" s="201" t="s">
        <v>60</v>
      </c>
      <c r="G32" s="659">
        <v>2671.3198065491024</v>
      </c>
      <c r="H32" s="659">
        <v>2670.8951771999168</v>
      </c>
      <c r="I32" s="659">
        <v>2577.7051330017935</v>
      </c>
      <c r="J32" s="659">
        <v>2586.9651405550908</v>
      </c>
      <c r="K32" s="659">
        <v>2680.4146422707395</v>
      </c>
      <c r="L32" s="659" t="str">
        <v/>
      </c>
      <c r="M32" s="659" t="str">
        <v/>
      </c>
      <c r="N32" s="659" t="str">
        <v/>
      </c>
      <c r="O32" s="659" t="str">
        <v/>
      </c>
      <c r="P32" s="659" t="str">
        <v/>
      </c>
      <c r="Q32" s="659" t="str">
        <v/>
      </c>
      <c r="R32" s="659" t="str">
        <v/>
      </c>
      <c r="S32" s="240">
        <f t="shared" si="5"/>
        <v>2680.4146422707395</v>
      </c>
      <c r="T32" s="241">
        <f t="shared" si="4"/>
        <v>1</v>
      </c>
      <c r="U32" s="224" t="str">
        <f t="shared" si="6"/>
        <v>TOTAL (100.0%)</v>
      </c>
      <c r="V32" s="238"/>
      <c r="W32" s="238"/>
      <c r="X32" s="238"/>
    </row>
    <row r="33" spans="4:24" ht="16.149999999999999" customHeight="1" thickTop="1" thickBot="1" x14ac:dyDescent="0.25">
      <c r="D33" s="203"/>
      <c r="E33" s="242"/>
      <c r="F33" s="179"/>
      <c r="G33" s="660"/>
      <c r="H33" s="660"/>
      <c r="I33" s="660"/>
      <c r="J33" s="660"/>
      <c r="K33" s="660"/>
      <c r="L33" s="660"/>
      <c r="M33" s="660"/>
      <c r="N33" s="660"/>
      <c r="O33" s="660"/>
      <c r="P33" s="660"/>
      <c r="Q33" s="660"/>
      <c r="R33" s="660"/>
      <c r="S33" s="240">
        <f t="shared" si="5"/>
        <v>0</v>
      </c>
      <c r="T33" s="238"/>
      <c r="U33" s="238"/>
      <c r="V33" s="238"/>
      <c r="W33" s="238"/>
      <c r="X33" s="238"/>
    </row>
    <row r="34" spans="4:24" ht="16.149999999999999" customHeight="1" thickTop="1" thickBot="1" x14ac:dyDescent="0.25">
      <c r="D34" s="203"/>
      <c r="E34" s="242"/>
      <c r="F34" s="179"/>
      <c r="G34" s="660"/>
      <c r="H34" s="660"/>
      <c r="I34" s="660"/>
      <c r="J34" s="660"/>
      <c r="K34" s="660"/>
      <c r="L34" s="660"/>
      <c r="M34" s="660"/>
      <c r="N34" s="660"/>
      <c r="O34" s="660"/>
      <c r="P34" s="660"/>
      <c r="Q34" s="660"/>
      <c r="R34" s="660"/>
      <c r="S34" s="240"/>
      <c r="T34" s="238"/>
      <c r="U34" s="238"/>
      <c r="V34" s="238"/>
      <c r="W34" s="238"/>
      <c r="X34" s="238"/>
    </row>
    <row r="35" spans="4:24" ht="16.149999999999999" customHeight="1" thickTop="1" thickBot="1" x14ac:dyDescent="0.25">
      <c r="E35" s="242"/>
      <c r="F35" s="179"/>
      <c r="G35" s="660"/>
      <c r="H35" s="660"/>
      <c r="I35" s="660"/>
      <c r="J35" s="660"/>
      <c r="K35" s="660"/>
      <c r="L35" s="660"/>
      <c r="M35" s="660"/>
      <c r="N35" s="660"/>
      <c r="O35" s="660"/>
      <c r="P35" s="660"/>
      <c r="Q35" s="660"/>
      <c r="R35" s="660"/>
      <c r="S35" s="240">
        <f t="shared" si="5"/>
        <v>0</v>
      </c>
      <c r="T35" s="238"/>
      <c r="U35" s="238"/>
      <c r="V35" s="238"/>
      <c r="W35" s="238"/>
      <c r="X35" s="238"/>
    </row>
    <row r="36" spans="4:24" ht="16.149999999999999" customHeight="1" thickTop="1" thickBot="1" x14ac:dyDescent="0.25">
      <c r="E36" s="242"/>
      <c r="F36" s="179"/>
      <c r="G36" s="661"/>
      <c r="H36" s="661"/>
      <c r="I36" s="661"/>
      <c r="J36" s="661"/>
      <c r="K36" s="661"/>
      <c r="L36" s="661"/>
      <c r="M36" s="661"/>
      <c r="N36" s="661"/>
      <c r="O36" s="661"/>
      <c r="P36" s="661"/>
      <c r="Q36" s="661"/>
      <c r="R36" s="661"/>
      <c r="S36" s="243"/>
      <c r="T36" s="244"/>
      <c r="U36" s="244"/>
      <c r="V36" s="244"/>
      <c r="W36" s="244"/>
      <c r="X36" s="245"/>
    </row>
    <row r="37" spans="4:24" ht="16.149999999999999" customHeight="1" thickTop="1" thickBot="1" x14ac:dyDescent="0.25">
      <c r="E37" s="210"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246"/>
      <c r="G37" s="246"/>
      <c r="H37" s="246"/>
      <c r="I37" s="246"/>
      <c r="J37" s="246"/>
      <c r="K37" s="246"/>
      <c r="L37" s="246"/>
      <c r="M37" s="246"/>
      <c r="N37" s="246"/>
      <c r="O37" s="246"/>
      <c r="P37" s="246"/>
      <c r="Q37" s="246"/>
      <c r="R37" s="246"/>
      <c r="S37" s="244"/>
      <c r="T37" s="244"/>
      <c r="U37" s="244"/>
      <c r="V37" s="244"/>
      <c r="W37" s="244"/>
      <c r="X37" s="245"/>
    </row>
    <row r="38" spans="4:24" s="181" customFormat="1" ht="16.149999999999999" customHeight="1" thickTop="1" thickBot="1" x14ac:dyDescent="0.2">
      <c r="D38" s="177"/>
      <c r="E38" s="178" t="str">
        <f>REP.footer1</f>
        <v>This report is copyright © Global Tourism Solutions (UK) Ltd 2014</v>
      </c>
      <c r="F38" s="179"/>
      <c r="G38" s="179"/>
      <c r="H38" s="179" t="str">
        <f>IFERROR(INDEX(DATA!$T:$T,MATCH(G$9&amp;".Employment."&amp;$E25:$E32,REP.lookup,0)),"")</f>
        <v/>
      </c>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247"/>
      <c r="H40" s="247"/>
      <c r="I40" s="247"/>
      <c r="J40" s="247"/>
      <c r="K40" s="247"/>
      <c r="L40" s="247"/>
      <c r="M40" s="247"/>
      <c r="N40" s="247"/>
      <c r="O40" s="247"/>
      <c r="P40" s="247"/>
      <c r="Q40" s="247"/>
      <c r="R40" s="247"/>
      <c r="S40" s="247"/>
      <c r="T40" s="247"/>
      <c r="U40" s="247"/>
      <c r="V40" s="247"/>
    </row>
    <row r="41" spans="4:24" ht="16.149999999999999" customHeight="1" x14ac:dyDescent="0.2">
      <c r="G41" s="247"/>
      <c r="H41" s="247"/>
      <c r="I41" s="247"/>
      <c r="J41" s="247"/>
      <c r="K41" s="247"/>
      <c r="L41" s="247"/>
      <c r="M41" s="247"/>
      <c r="N41" s="247"/>
      <c r="O41" s="247"/>
      <c r="P41" s="247"/>
      <c r="Q41" s="247"/>
      <c r="R41" s="247"/>
      <c r="S41" s="247"/>
      <c r="T41" s="247"/>
      <c r="U41" s="247"/>
      <c r="V41" s="247"/>
    </row>
    <row r="70" spans="7:23" ht="16.149999999999999" customHeight="1" x14ac:dyDescent="0.2">
      <c r="G70" s="118" t="s">
        <v>44</v>
      </c>
      <c r="H70" s="118" t="s">
        <v>44</v>
      </c>
      <c r="J70" s="118" t="s">
        <v>49</v>
      </c>
      <c r="K70" s="118" t="s">
        <v>49</v>
      </c>
      <c r="M70" s="118" t="s">
        <v>19</v>
      </c>
      <c r="N70" s="118" t="s">
        <v>19</v>
      </c>
      <c r="P70" s="118" t="s">
        <v>97</v>
      </c>
      <c r="S70" s="118" t="s">
        <v>73</v>
      </c>
      <c r="T70" s="118" t="s">
        <v>73</v>
      </c>
      <c r="V70" s="118" t="s">
        <v>55</v>
      </c>
      <c r="W70" s="118" t="s">
        <v>55</v>
      </c>
    </row>
  </sheetData>
  <sheetProtection algorithmName="SHA-512" hashValue="/tpBmCDVKSKM7w3wlp94FlQf4Z2Zpa4AP4mB9QZkXaHcQlPEpI1kSG2KYbVeEgwDuKzUk4ZRsXS/DBFWW2g5Wg==" saltValue="QnbZzznA2jWU5hlrlKFkfA==" spinCount="100000" sheet="1" objects="1" scenarios="1"/>
  <mergeCells count="12">
    <mergeCell ref="E24:F24"/>
    <mergeCell ref="S8:X8"/>
    <mergeCell ref="S23:X23"/>
    <mergeCell ref="M7:O7"/>
    <mergeCell ref="E23:R23"/>
    <mergeCell ref="E8:R8"/>
    <mergeCell ref="S6:T7"/>
    <mergeCell ref="U6:X7"/>
    <mergeCell ref="N6:O6"/>
    <mergeCell ref="E9:F9"/>
    <mergeCell ref="P6:R6"/>
    <mergeCell ref="P7:R7"/>
  </mergeCells>
  <conditionalFormatting sqref="F25:F32 E28:E32">
    <cfRule type="expression" dxfId="11" priority="43">
      <formula>$E25=0</formula>
    </cfRule>
  </conditionalFormatting>
  <conditionalFormatting sqref="G9:I9 G10:R19">
    <cfRule type="expression" dxfId="10" priority="1">
      <formula>G$9=0</formula>
    </cfRule>
  </conditionalFormatting>
  <conditionalFormatting sqref="G24:I32">
    <cfRule type="expression" dxfId="9" priority="17">
      <formula>G$9=0</formula>
    </cfRule>
  </conditionalFormatting>
  <conditionalFormatting sqref="J9:R9">
    <cfRule type="expression" dxfId="8" priority="16">
      <formula>J$9=0</formula>
    </cfRule>
  </conditionalFormatting>
  <conditionalFormatting sqref="J24:R32">
    <cfRule type="expression" dxfId="7" priority="15">
      <formula>J$9=0</formula>
    </cfRule>
  </conditionalFormatting>
  <conditionalFormatting sqref="F10:F19">
    <cfRule type="expression" dxfId="6" priority="14">
      <formula>$E10=0</formula>
    </cfRule>
  </conditionalFormatting>
  <conditionalFormatting sqref="E24">
    <cfRule type="expression" dxfId="5" priority="12">
      <formula>$E24=0</formula>
    </cfRule>
  </conditionalFormatting>
  <conditionalFormatting sqref="S10:S22">
    <cfRule type="expression" dxfId="4" priority="11">
      <formula>S$9=0</formula>
    </cfRule>
  </conditionalFormatting>
  <conditionalFormatting sqref="S10:S22">
    <cfRule type="expression" dxfId="3" priority="10">
      <formula>MAX($G$10:$S$18)&gt;=5000000</formula>
    </cfRule>
  </conditionalFormatting>
  <conditionalFormatting sqref="E9">
    <cfRule type="expression" dxfId="2" priority="9">
      <formula>$E9=0</formula>
    </cfRule>
  </conditionalFormatting>
  <conditionalFormatting sqref="E13:E19">
    <cfRule type="expression" dxfId="1" priority="8">
      <formula>$E13=0</formula>
    </cfRule>
  </conditionalFormatting>
  <conditionalFormatting sqref="G10:R19">
    <cfRule type="expression" dxfId="0" priority="25">
      <formula>AND($A$2&gt;1,G10&lt;10)</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Drop Down 1">
              <controlPr defaultSize="0" autoLine="0" autoPict="0">
                <anchor moveWithCells="1">
                  <from>
                    <xdr:col>21</xdr:col>
                    <xdr:colOff>171450</xdr:colOff>
                    <xdr:row>4</xdr:row>
                    <xdr:rowOff>19050</xdr:rowOff>
                  </from>
                  <to>
                    <xdr:col>22</xdr:col>
                    <xdr:colOff>257175</xdr:colOff>
                    <xdr:row>4</xdr:row>
                    <xdr:rowOff>295275</xdr:rowOff>
                  </to>
                </anchor>
              </controlPr>
            </control>
          </mc:Choice>
        </mc:AlternateContent>
        <mc:AlternateContent xmlns:mc="http://schemas.openxmlformats.org/markup-compatibility/2006">
          <mc:Choice Requires="x14">
            <control shapeId="126979" r:id="rId5" name="Drop Down 3">
              <controlPr defaultSize="0" autoLine="0" autoPict="0">
                <anchor moveWithCells="1">
                  <from>
                    <xdr:col>16</xdr:col>
                    <xdr:colOff>66675</xdr:colOff>
                    <xdr:row>4</xdr:row>
                    <xdr:rowOff>19050</xdr:rowOff>
                  </from>
                  <to>
                    <xdr:col>17</xdr:col>
                    <xdr:colOff>285750</xdr:colOff>
                    <xdr:row>4</xdr:row>
                    <xdr:rowOff>295275</xdr:rowOff>
                  </to>
                </anchor>
              </controlPr>
            </control>
          </mc:Choice>
        </mc:AlternateContent>
        <mc:AlternateContent xmlns:mc="http://schemas.openxmlformats.org/markup-compatibility/2006">
          <mc:Choice Requires="x14">
            <control shapeId="126980" r:id="rId6" name="Drop Down 4">
              <controlPr defaultSize="0" autoLine="0" autoPict="0">
                <anchor moveWithCells="1">
                  <from>
                    <xdr:col>6</xdr:col>
                    <xdr:colOff>9525</xdr:colOff>
                    <xdr:row>4</xdr:row>
                    <xdr:rowOff>19050</xdr:rowOff>
                  </from>
                  <to>
                    <xdr:col>7</xdr:col>
                    <xdr:colOff>219075</xdr:colOff>
                    <xdr:row>4</xdr:row>
                    <xdr:rowOff>295275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lient01">
    <tabColor theme="4" tint="0.39997558519241921"/>
    <outlinePr showOutlineSymbols="0"/>
    <pageSetUpPr autoPageBreaks="0" fitToPage="1"/>
  </sheetPr>
  <dimension ref="A1:AC67"/>
  <sheetViews>
    <sheetView showGridLines="0" showRowColHeaders="0" showZeros="0" showOutlineSymbols="0" topLeftCell="A2" zoomScaleNormal="100" workbookViewId="0">
      <pane ySplit="11" topLeftCell="A13" activePane="bottomLeft" state="frozen"/>
      <selection activeCell="M48" sqref="M48"/>
      <selection pane="bottomLeft" activeCell="E35" sqref="E35:X35"/>
    </sheetView>
  </sheetViews>
  <sheetFormatPr defaultColWidth="4.85546875" defaultRowHeight="16.149999999999999" customHeight="1" x14ac:dyDescent="0.2"/>
  <cols>
    <col min="1" max="1" width="7.85546875" style="118" bestFit="1" customWidth="1"/>
    <col min="2"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9" ht="16.149999999999999" hidden="1" customHeight="1" x14ac:dyDescent="0.2">
      <c r="A1" s="117" t="str">
        <f ca="1">MID(CELL("filename",A1),FIND("]",CELL("filename",A1))+1,255)</f>
        <v>COVER</v>
      </c>
      <c r="E1" s="120"/>
      <c r="F1" s="121"/>
      <c r="G1" s="121"/>
      <c r="H1" s="121"/>
      <c r="I1" s="121"/>
      <c r="J1" s="121"/>
      <c r="K1" s="121"/>
      <c r="L1" s="121"/>
      <c r="M1" s="121"/>
      <c r="N1" s="121"/>
      <c r="O1" s="121"/>
      <c r="P1" s="121"/>
      <c r="Q1" s="121"/>
      <c r="R1" s="121"/>
      <c r="S1" s="121"/>
      <c r="T1" s="121"/>
      <c r="U1" s="121"/>
      <c r="V1" s="121"/>
      <c r="W1" s="121"/>
      <c r="X1" s="122"/>
    </row>
    <row r="2" spans="1:29"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9" ht="26.45" customHeight="1" x14ac:dyDescent="0.2">
      <c r="E3" s="126"/>
      <c r="F3" s="127"/>
      <c r="G3" s="127"/>
      <c r="H3" s="127"/>
      <c r="I3" s="127"/>
      <c r="J3" s="127"/>
      <c r="K3" s="127"/>
      <c r="L3" s="127"/>
      <c r="M3" s="127"/>
      <c r="N3" s="127"/>
      <c r="O3" s="127"/>
      <c r="P3" s="127"/>
      <c r="Q3" s="127"/>
      <c r="R3" s="127"/>
      <c r="S3" s="127"/>
      <c r="T3" s="127"/>
      <c r="U3" s="127"/>
      <c r="V3" s="127"/>
      <c r="W3" s="127"/>
      <c r="X3" s="128"/>
    </row>
    <row r="4" spans="1:29" ht="26.45" customHeight="1" x14ac:dyDescent="0.2">
      <c r="E4" s="126"/>
      <c r="F4" s="127"/>
      <c r="G4" s="127"/>
      <c r="H4" s="127"/>
      <c r="I4" s="127"/>
      <c r="J4" s="127"/>
      <c r="K4" s="127"/>
      <c r="L4" s="127"/>
      <c r="M4" s="127"/>
      <c r="N4" s="127"/>
      <c r="O4" s="127"/>
      <c r="P4" s="127"/>
      <c r="Q4" s="127"/>
      <c r="R4" s="127"/>
      <c r="S4" s="127"/>
      <c r="T4" s="127"/>
      <c r="U4" s="127"/>
      <c r="V4" s="127"/>
      <c r="W4" s="127"/>
      <c r="X4" s="128"/>
    </row>
    <row r="5" spans="1:29" ht="26.45" customHeight="1" thickBot="1" x14ac:dyDescent="0.25">
      <c r="E5" s="129"/>
      <c r="F5" s="130"/>
      <c r="G5" s="130"/>
      <c r="H5" s="130"/>
      <c r="I5" s="130"/>
      <c r="J5" s="130"/>
      <c r="K5" s="130"/>
      <c r="L5" s="130"/>
      <c r="M5" s="130"/>
      <c r="N5" s="130"/>
      <c r="O5" s="130"/>
      <c r="P5" s="130"/>
      <c r="Q5" s="130"/>
      <c r="R5" s="130"/>
      <c r="S5" s="130"/>
      <c r="T5" s="130"/>
      <c r="U5" s="130"/>
      <c r="V5" s="130"/>
      <c r="W5" s="130"/>
      <c r="X5" s="131"/>
    </row>
    <row r="6" spans="1:29" ht="16.149999999999999" customHeight="1" thickTop="1" thickBot="1" x14ac:dyDescent="0.25">
      <c r="E6" s="106"/>
      <c r="F6" s="106"/>
      <c r="G6" s="106"/>
      <c r="H6" s="106"/>
      <c r="I6" s="106"/>
      <c r="J6" s="106"/>
      <c r="K6" s="106"/>
      <c r="L6" s="106"/>
      <c r="M6" s="106"/>
      <c r="N6" s="106"/>
      <c r="O6" s="106"/>
      <c r="P6" s="1097"/>
      <c r="Q6" s="1098"/>
      <c r="R6" s="1098"/>
      <c r="S6" s="1098"/>
      <c r="T6" s="1098"/>
      <c r="U6" s="1098"/>
      <c r="V6" s="1098"/>
      <c r="W6" s="1098"/>
      <c r="X6" s="1099"/>
    </row>
    <row r="7" spans="1:29" ht="16.149999999999999" customHeight="1" thickTop="1" thickBot="1" x14ac:dyDescent="0.25">
      <c r="E7" s="106"/>
      <c r="F7" s="106"/>
      <c r="G7" s="106"/>
      <c r="H7" s="106"/>
      <c r="I7" s="106"/>
      <c r="J7" s="106"/>
      <c r="K7" s="106"/>
      <c r="L7" s="106"/>
      <c r="M7" s="106"/>
      <c r="N7" s="106"/>
      <c r="O7" s="106"/>
      <c r="P7" s="1100"/>
      <c r="Q7" s="1101"/>
      <c r="R7" s="1101"/>
      <c r="S7" s="1101"/>
      <c r="T7" s="1101"/>
      <c r="U7" s="1101"/>
      <c r="V7" s="1101"/>
      <c r="W7" s="1101"/>
      <c r="X7" s="1102"/>
    </row>
    <row r="8" spans="1:29" ht="16.149999999999999" customHeight="1" thickTop="1" thickBot="1" x14ac:dyDescent="0.25">
      <c r="E8" s="106"/>
      <c r="F8" s="106"/>
      <c r="G8" s="106"/>
      <c r="H8" s="106"/>
      <c r="I8" s="106"/>
      <c r="J8" s="106"/>
      <c r="K8" s="106"/>
      <c r="L8" s="106"/>
      <c r="M8" s="106"/>
      <c r="N8" s="106"/>
      <c r="O8" s="106"/>
      <c r="P8" s="1103"/>
      <c r="Q8" s="1104"/>
      <c r="R8" s="1104"/>
      <c r="S8" s="1104"/>
      <c r="T8" s="1104"/>
      <c r="U8" s="1104"/>
      <c r="V8" s="1104"/>
      <c r="W8" s="1104"/>
      <c r="X8" s="1105"/>
    </row>
    <row r="9" spans="1:29" s="132" customFormat="1" ht="16.149999999999999" customHeight="1" thickTop="1" thickBot="1" x14ac:dyDescent="0.25">
      <c r="E9" s="106"/>
      <c r="F9" s="106"/>
      <c r="G9" s="106"/>
      <c r="H9" s="106"/>
      <c r="I9" s="106"/>
      <c r="J9" s="106"/>
      <c r="K9" s="106"/>
      <c r="L9" s="106"/>
      <c r="M9" s="106"/>
      <c r="N9" s="106"/>
      <c r="O9" s="106"/>
      <c r="P9" s="1106"/>
      <c r="Q9" s="1107"/>
      <c r="R9" s="1107"/>
      <c r="S9" s="1107"/>
      <c r="T9" s="1107"/>
      <c r="U9" s="1107"/>
      <c r="V9" s="1107"/>
      <c r="W9" s="1107"/>
      <c r="X9" s="1108"/>
    </row>
    <row r="10" spans="1:29" s="132" customFormat="1" ht="16.149999999999999" customHeight="1" thickTop="1" thickBot="1" x14ac:dyDescent="0.25">
      <c r="E10" s="106"/>
      <c r="F10" s="106"/>
      <c r="G10" s="106"/>
      <c r="H10" s="106"/>
      <c r="I10" s="106"/>
      <c r="J10" s="106"/>
      <c r="K10" s="106"/>
      <c r="L10" s="106"/>
      <c r="M10" s="106"/>
      <c r="N10" s="106"/>
      <c r="O10" s="106"/>
      <c r="P10" s="1085"/>
      <c r="Q10" s="1086"/>
      <c r="R10" s="1086"/>
      <c r="S10" s="1086"/>
      <c r="T10" s="1086"/>
      <c r="U10" s="1086"/>
      <c r="V10" s="1086"/>
      <c r="W10" s="1086"/>
      <c r="X10" s="1087"/>
      <c r="AC10" s="133"/>
    </row>
    <row r="11" spans="1:29" s="132" customFormat="1" ht="16.149999999999999" customHeight="1" thickTop="1" thickBot="1" x14ac:dyDescent="0.25">
      <c r="E11" s="134"/>
      <c r="F11" s="134"/>
      <c r="G11" s="134"/>
      <c r="H11" s="134"/>
      <c r="I11" s="134"/>
      <c r="J11" s="134"/>
      <c r="K11" s="134"/>
      <c r="L11" s="134"/>
      <c r="M11" s="135"/>
      <c r="N11" s="135"/>
      <c r="O11" s="135"/>
      <c r="P11" s="1088"/>
      <c r="Q11" s="1089"/>
      <c r="R11" s="1089"/>
      <c r="S11" s="1089"/>
      <c r="T11" s="1089"/>
      <c r="U11" s="1089"/>
      <c r="V11" s="1089"/>
      <c r="W11" s="1089"/>
      <c r="X11" s="1090"/>
    </row>
    <row r="12" spans="1:29" ht="16.149999999999999" customHeight="1" thickTop="1" thickBot="1" x14ac:dyDescent="0.25">
      <c r="E12" s="136"/>
      <c r="F12" s="136"/>
      <c r="G12" s="137"/>
      <c r="H12" s="137"/>
      <c r="I12" s="138"/>
      <c r="J12" s="137"/>
      <c r="K12" s="137"/>
      <c r="L12" s="138"/>
      <c r="M12" s="137"/>
      <c r="N12" s="137"/>
      <c r="O12" s="138"/>
      <c r="P12" s="1088"/>
      <c r="Q12" s="1089"/>
      <c r="R12" s="1089"/>
      <c r="S12" s="1089"/>
      <c r="T12" s="1089"/>
      <c r="U12" s="1089"/>
      <c r="V12" s="1089"/>
      <c r="W12" s="1089"/>
      <c r="X12" s="1090"/>
    </row>
    <row r="13" spans="1:29" ht="16.149999999999999" customHeight="1" thickTop="1" thickBot="1" x14ac:dyDescent="0.25">
      <c r="E13" s="139"/>
      <c r="F13" s="140"/>
      <c r="G13" s="141"/>
      <c r="H13" s="141"/>
      <c r="I13" s="142"/>
      <c r="J13" s="141"/>
      <c r="K13" s="141"/>
      <c r="L13" s="142"/>
      <c r="M13" s="141"/>
      <c r="N13" s="141"/>
      <c r="O13" s="142"/>
      <c r="P13" s="1091"/>
      <c r="Q13" s="1092"/>
      <c r="R13" s="1092"/>
      <c r="S13" s="1092"/>
      <c r="T13" s="1092"/>
      <c r="U13" s="1092"/>
      <c r="V13" s="1092"/>
      <c r="W13" s="1092"/>
      <c r="X13" s="1093"/>
    </row>
    <row r="14" spans="1:29" ht="16.149999999999999" customHeight="1" thickTop="1" thickBot="1" x14ac:dyDescent="0.25">
      <c r="E14" s="139"/>
      <c r="F14" s="140"/>
      <c r="G14" s="141"/>
      <c r="H14" s="141"/>
      <c r="I14" s="142"/>
      <c r="J14" s="141"/>
      <c r="K14" s="141"/>
      <c r="L14" s="142"/>
      <c r="M14" s="141"/>
      <c r="N14" s="141"/>
      <c r="O14" s="142"/>
      <c r="P14" s="1094"/>
      <c r="Q14" s="1095"/>
      <c r="R14" s="1095"/>
      <c r="S14" s="1095"/>
      <c r="T14" s="1095"/>
      <c r="U14" s="1095"/>
      <c r="V14" s="1095"/>
      <c r="W14" s="1095"/>
      <c r="X14" s="1096"/>
    </row>
    <row r="15" spans="1:29" ht="16.149999999999999" customHeight="1" thickTop="1" thickBot="1" x14ac:dyDescent="0.25">
      <c r="E15" s="139"/>
      <c r="F15" s="140"/>
      <c r="G15" s="141"/>
      <c r="H15" s="141"/>
      <c r="I15" s="142"/>
      <c r="J15" s="141"/>
      <c r="K15" s="141"/>
      <c r="L15" s="142"/>
      <c r="M15" s="141"/>
      <c r="N15" s="141"/>
      <c r="O15" s="142"/>
      <c r="P15" s="143"/>
      <c r="Q15" s="144"/>
      <c r="R15" s="145"/>
      <c r="S15" s="144"/>
      <c r="T15" s="144"/>
      <c r="U15" s="145"/>
      <c r="V15" s="146"/>
      <c r="W15" s="146"/>
      <c r="X15" s="147"/>
    </row>
    <row r="16" spans="1:29" ht="16.149999999999999" customHeight="1" thickTop="1" thickBot="1" x14ac:dyDescent="0.25">
      <c r="E16" s="139"/>
      <c r="F16" s="140"/>
      <c r="G16" s="148"/>
      <c r="H16" s="148"/>
      <c r="I16" s="142"/>
      <c r="J16" s="148"/>
      <c r="K16" s="148"/>
      <c r="L16" s="142"/>
      <c r="M16" s="148"/>
      <c r="N16" s="148"/>
      <c r="O16" s="142"/>
      <c r="P16" s="149"/>
      <c r="Q16" s="150"/>
      <c r="R16" s="150"/>
      <c r="S16" s="151"/>
      <c r="T16" s="151"/>
      <c r="U16" s="151"/>
      <c r="V16" s="152"/>
      <c r="W16" s="152"/>
      <c r="X16" s="153"/>
    </row>
    <row r="17" spans="5:24" ht="16.149999999999999" customHeight="1" thickTop="1" thickBot="1" x14ac:dyDescent="0.25">
      <c r="E17" s="154"/>
      <c r="F17" s="140"/>
      <c r="G17" s="155"/>
      <c r="H17" s="141"/>
      <c r="I17" s="142"/>
      <c r="J17" s="155"/>
      <c r="K17" s="141"/>
      <c r="L17" s="142"/>
      <c r="M17" s="155"/>
      <c r="N17" s="141"/>
      <c r="O17" s="142"/>
      <c r="P17" s="149"/>
      <c r="Q17" s="150"/>
      <c r="R17" s="150"/>
      <c r="S17" s="151"/>
      <c r="T17" s="151"/>
      <c r="U17" s="151"/>
      <c r="V17" s="152"/>
      <c r="W17" s="152"/>
      <c r="X17" s="153"/>
    </row>
    <row r="18" spans="5:24" ht="16.149999999999999" customHeight="1" thickTop="1" thickBot="1" x14ac:dyDescent="0.25">
      <c r="E18" s="154"/>
      <c r="F18" s="140"/>
      <c r="G18" s="141"/>
      <c r="H18" s="141"/>
      <c r="I18" s="142"/>
      <c r="J18" s="141"/>
      <c r="K18" s="141"/>
      <c r="L18" s="142"/>
      <c r="M18" s="141"/>
      <c r="N18" s="141"/>
      <c r="O18" s="142"/>
      <c r="P18" s="149"/>
      <c r="Q18" s="150"/>
      <c r="R18" s="150"/>
      <c r="S18" s="151"/>
      <c r="T18" s="151"/>
      <c r="U18" s="151"/>
      <c r="V18" s="152"/>
      <c r="W18" s="152"/>
      <c r="X18" s="153"/>
    </row>
    <row r="19" spans="5:24" ht="16.149999999999999" customHeight="1" thickTop="1" thickBot="1" x14ac:dyDescent="0.25">
      <c r="E19" s="156"/>
      <c r="F19" s="156"/>
      <c r="G19" s="156"/>
      <c r="H19" s="156"/>
      <c r="I19" s="156"/>
      <c r="J19" s="156"/>
      <c r="K19" s="156"/>
      <c r="L19" s="156"/>
      <c r="M19" s="156"/>
      <c r="N19" s="156"/>
      <c r="O19" s="156"/>
      <c r="P19" s="149"/>
      <c r="Q19" s="150"/>
      <c r="R19" s="150"/>
      <c r="S19" s="151"/>
      <c r="T19" s="151"/>
      <c r="U19" s="151"/>
      <c r="V19" s="152"/>
      <c r="W19" s="152"/>
      <c r="X19" s="153"/>
    </row>
    <row r="20" spans="5:24" ht="16.149999999999999" customHeight="1" thickTop="1" thickBot="1" x14ac:dyDescent="0.25">
      <c r="E20" s="157"/>
      <c r="F20" s="157"/>
      <c r="G20" s="134"/>
      <c r="H20" s="134"/>
      <c r="I20" s="134"/>
      <c r="J20" s="134"/>
      <c r="K20" s="134"/>
      <c r="L20" s="134"/>
      <c r="M20" s="135"/>
      <c r="N20" s="135"/>
      <c r="O20" s="135"/>
      <c r="P20" s="149"/>
      <c r="Q20" s="150"/>
      <c r="R20" s="150"/>
      <c r="S20" s="151"/>
      <c r="T20" s="151"/>
      <c r="U20" s="151"/>
      <c r="V20" s="152"/>
      <c r="W20" s="152"/>
      <c r="X20" s="153"/>
    </row>
    <row r="21" spans="5:24" ht="24" customHeight="1" thickTop="1" thickBot="1" x14ac:dyDescent="0.25">
      <c r="E21" s="156"/>
      <c r="F21" s="156"/>
      <c r="G21" s="136"/>
      <c r="H21" s="136"/>
      <c r="I21" s="136"/>
      <c r="J21" s="136"/>
      <c r="K21" s="136"/>
      <c r="L21" s="136"/>
      <c r="M21" s="136"/>
      <c r="N21" s="136"/>
      <c r="O21" s="136"/>
      <c r="P21" s="158"/>
      <c r="Q21" s="159"/>
      <c r="R21" s="159"/>
      <c r="S21" s="159"/>
      <c r="T21" s="159"/>
      <c r="U21" s="159"/>
      <c r="V21" s="159"/>
      <c r="W21" s="159"/>
      <c r="X21" s="153"/>
    </row>
    <row r="22" spans="5:24" ht="24" customHeight="1" thickTop="1" thickBot="1" x14ac:dyDescent="0.25">
      <c r="E22" s="156"/>
      <c r="F22" s="156"/>
      <c r="G22" s="136"/>
      <c r="H22" s="136"/>
      <c r="I22" s="136"/>
      <c r="J22" s="136"/>
      <c r="K22" s="136"/>
      <c r="L22" s="136"/>
      <c r="M22" s="136"/>
      <c r="N22" s="136"/>
      <c r="O22" s="136"/>
      <c r="P22" s="158"/>
      <c r="Q22" s="159"/>
      <c r="R22" s="159"/>
      <c r="S22" s="159"/>
      <c r="T22" s="159"/>
      <c r="U22" s="159"/>
      <c r="V22" s="159"/>
      <c r="W22" s="152"/>
      <c r="X22" s="153"/>
    </row>
    <row r="23" spans="5:24" ht="24" customHeight="1" thickTop="1" thickBot="1" x14ac:dyDescent="0.4">
      <c r="E23" s="156"/>
      <c r="F23" s="156"/>
      <c r="G23" s="136"/>
      <c r="H23" s="136"/>
      <c r="I23" s="136"/>
      <c r="J23" s="136"/>
      <c r="K23" s="136"/>
      <c r="L23" s="136"/>
      <c r="M23" s="136"/>
      <c r="N23" s="136"/>
      <c r="O23" s="136"/>
      <c r="P23" s="158"/>
      <c r="Q23" s="159"/>
      <c r="R23" s="159"/>
      <c r="S23" s="159"/>
      <c r="T23" s="159"/>
      <c r="U23" s="159"/>
      <c r="V23" s="159"/>
      <c r="W23" s="112" t="str">
        <f t="array" ref="W23:W34">IF(ISBLANK(REP.companycontacts),"",REP.companycontacts)</f>
        <v/>
      </c>
      <c r="X23" s="153"/>
    </row>
    <row r="24" spans="5:24" ht="24" customHeight="1" thickTop="1" thickBot="1" x14ac:dyDescent="0.25">
      <c r="E24" s="134"/>
      <c r="F24" s="134"/>
      <c r="G24" s="136"/>
      <c r="H24" s="136"/>
      <c r="I24" s="136"/>
      <c r="J24" s="136"/>
      <c r="K24" s="136"/>
      <c r="L24" s="136"/>
      <c r="M24" s="136"/>
      <c r="N24" s="136"/>
      <c r="O24" s="136"/>
      <c r="P24" s="158"/>
      <c r="Q24" s="159"/>
      <c r="R24" s="159"/>
      <c r="S24" s="159"/>
      <c r="T24" s="159"/>
      <c r="U24" s="159"/>
      <c r="V24" s="159"/>
      <c r="W24" s="113" t="str">
        <v>Global Tourism Solutions (UK) Ltd</v>
      </c>
      <c r="X24" s="153"/>
    </row>
    <row r="25" spans="5:24" ht="16.149999999999999" customHeight="1" thickTop="1" thickBot="1" x14ac:dyDescent="0.25">
      <c r="E25" s="156"/>
      <c r="F25" s="156"/>
      <c r="G25" s="156"/>
      <c r="H25" s="156"/>
      <c r="I25" s="156"/>
      <c r="J25" s="156"/>
      <c r="K25" s="156"/>
      <c r="L25" s="156"/>
      <c r="M25" s="156"/>
      <c r="N25" s="156"/>
      <c r="O25" s="156"/>
      <c r="P25" s="160"/>
      <c r="Q25" s="151"/>
      <c r="R25" s="151"/>
      <c r="S25" s="151"/>
      <c r="T25" s="151"/>
      <c r="U25" s="151"/>
      <c r="V25" s="151"/>
      <c r="W25" s="114" t="str">
        <v>Grove House</v>
      </c>
      <c r="X25" s="153"/>
    </row>
    <row r="26" spans="5:24" ht="16.149999999999999" customHeight="1" thickTop="1" thickBot="1" x14ac:dyDescent="0.25">
      <c r="E26" s="136"/>
      <c r="F26" s="136"/>
      <c r="G26" s="136"/>
      <c r="H26" s="136"/>
      <c r="I26" s="136"/>
      <c r="J26" s="137"/>
      <c r="K26" s="137"/>
      <c r="L26" s="138"/>
      <c r="M26" s="156"/>
      <c r="N26" s="156"/>
      <c r="O26" s="156"/>
      <c r="P26" s="161"/>
      <c r="Q26" s="162"/>
      <c r="R26" s="163"/>
      <c r="S26" s="159"/>
      <c r="T26" s="159"/>
      <c r="U26" s="159"/>
      <c r="V26" s="159"/>
      <c r="W26" s="115" t="str">
        <v>9D Throxenby Lane</v>
      </c>
      <c r="X26" s="153"/>
    </row>
    <row r="27" spans="5:24" ht="16.149999999999999" customHeight="1" thickTop="1" thickBot="1" x14ac:dyDescent="0.25">
      <c r="E27" s="136"/>
      <c r="F27" s="136"/>
      <c r="G27" s="136"/>
      <c r="H27" s="136"/>
      <c r="I27" s="136"/>
      <c r="J27" s="148"/>
      <c r="K27" s="148"/>
      <c r="L27" s="142"/>
      <c r="M27" s="136"/>
      <c r="N27" s="136"/>
      <c r="O27" s="136"/>
      <c r="P27" s="164"/>
      <c r="Q27" s="165"/>
      <c r="R27" s="166"/>
      <c r="S27" s="159"/>
      <c r="T27" s="159"/>
      <c r="U27" s="159"/>
      <c r="V27" s="159"/>
      <c r="W27" s="115" t="str">
        <v>Scarborough</v>
      </c>
      <c r="X27" s="153"/>
    </row>
    <row r="28" spans="5:24" ht="16.149999999999999" customHeight="1" thickTop="1" thickBot="1" x14ac:dyDescent="0.25">
      <c r="E28" s="136"/>
      <c r="F28" s="136"/>
      <c r="G28" s="136"/>
      <c r="H28" s="136"/>
      <c r="I28" s="136"/>
      <c r="J28" s="148"/>
      <c r="K28" s="148"/>
      <c r="L28" s="142"/>
      <c r="M28" s="136"/>
      <c r="N28" s="136"/>
      <c r="O28" s="136"/>
      <c r="P28" s="164"/>
      <c r="Q28" s="165"/>
      <c r="R28" s="166"/>
      <c r="S28" s="159"/>
      <c r="T28" s="159"/>
      <c r="U28" s="159"/>
      <c r="V28" s="159"/>
      <c r="W28" s="115" t="str">
        <v>North Yorkshire</v>
      </c>
      <c r="X28" s="153"/>
    </row>
    <row r="29" spans="5:24" ht="16.149999999999999" customHeight="1" thickTop="1" thickBot="1" x14ac:dyDescent="0.25">
      <c r="E29" s="136"/>
      <c r="F29" s="136"/>
      <c r="G29" s="136"/>
      <c r="H29" s="136"/>
      <c r="I29" s="136"/>
      <c r="J29" s="148"/>
      <c r="K29" s="148"/>
      <c r="L29" s="142"/>
      <c r="M29" s="136"/>
      <c r="N29" s="136"/>
      <c r="O29" s="136"/>
      <c r="P29" s="164"/>
      <c r="Q29" s="165"/>
      <c r="R29" s="166"/>
      <c r="S29" s="159"/>
      <c r="T29" s="159"/>
      <c r="U29" s="159"/>
      <c r="V29" s="159"/>
      <c r="W29" s="115" t="str">
        <v>YO12 5HN</v>
      </c>
      <c r="X29" s="153"/>
    </row>
    <row r="30" spans="5:24" ht="16.149999999999999" customHeight="1" thickTop="1" thickBot="1" x14ac:dyDescent="0.25">
      <c r="E30" s="136"/>
      <c r="F30" s="136"/>
      <c r="G30" s="136"/>
      <c r="H30" s="136"/>
      <c r="I30" s="136"/>
      <c r="J30" s="148"/>
      <c r="K30" s="148"/>
      <c r="L30" s="142"/>
      <c r="M30" s="136"/>
      <c r="N30" s="136"/>
      <c r="O30" s="136"/>
      <c r="P30" s="164"/>
      <c r="Q30" s="165"/>
      <c r="R30" s="166"/>
      <c r="S30" s="159"/>
      <c r="T30" s="159"/>
      <c r="U30" s="159"/>
      <c r="V30" s="159"/>
      <c r="W30" s="115" t="str">
        <v/>
      </c>
      <c r="X30" s="153"/>
    </row>
    <row r="31" spans="5:24" ht="16.149999999999999" customHeight="1" thickTop="1" thickBot="1" x14ac:dyDescent="0.25">
      <c r="E31" s="136"/>
      <c r="F31" s="136"/>
      <c r="G31" s="136"/>
      <c r="H31" s="136"/>
      <c r="I31" s="136"/>
      <c r="J31" s="148"/>
      <c r="K31" s="148"/>
      <c r="L31" s="142"/>
      <c r="M31" s="136"/>
      <c r="N31" s="136"/>
      <c r="O31" s="136"/>
      <c r="P31" s="164"/>
      <c r="Q31" s="165"/>
      <c r="R31" s="166"/>
      <c r="S31" s="159"/>
      <c r="T31" s="159"/>
      <c r="U31" s="159"/>
      <c r="V31" s="159"/>
      <c r="W31" s="114" t="str">
        <v>Telephone: 01723 506310</v>
      </c>
      <c r="X31" s="153"/>
    </row>
    <row r="32" spans="5:24" ht="16.149999999999999" customHeight="1" thickTop="1" thickBot="1" x14ac:dyDescent="0.25">
      <c r="E32" s="136"/>
      <c r="F32" s="136"/>
      <c r="G32" s="136"/>
      <c r="H32" s="136"/>
      <c r="I32" s="136"/>
      <c r="J32" s="167"/>
      <c r="K32" s="167"/>
      <c r="L32" s="168"/>
      <c r="M32" s="156"/>
      <c r="N32" s="156"/>
      <c r="O32" s="156"/>
      <c r="P32" s="169"/>
      <c r="Q32" s="170"/>
      <c r="R32" s="171"/>
      <c r="S32" s="159"/>
      <c r="T32" s="159"/>
      <c r="U32" s="159"/>
      <c r="V32" s="159"/>
      <c r="W32" s="114" t="str">
        <v>Email: david.james@gtsuk.net</v>
      </c>
      <c r="X32" s="153"/>
    </row>
    <row r="33" spans="4:24" ht="16.149999999999999" customHeight="1" thickTop="1" thickBot="1" x14ac:dyDescent="0.25">
      <c r="E33" s="136"/>
      <c r="F33" s="136"/>
      <c r="G33" s="136"/>
      <c r="H33" s="136"/>
      <c r="I33" s="136"/>
      <c r="J33" s="148"/>
      <c r="K33" s="148"/>
      <c r="L33" s="142"/>
      <c r="M33" s="136"/>
      <c r="N33" s="136"/>
      <c r="O33" s="136"/>
      <c r="P33" s="164"/>
      <c r="Q33" s="165"/>
      <c r="R33" s="166"/>
      <c r="S33" s="159"/>
      <c r="T33" s="159"/>
      <c r="U33" s="159"/>
      <c r="V33" s="159"/>
      <c r="W33" s="114" t="str">
        <v>Website: www.gtsuk.net</v>
      </c>
      <c r="X33" s="153"/>
    </row>
    <row r="34" spans="4:24" ht="16.149999999999999" customHeight="1" thickTop="1" thickBot="1" x14ac:dyDescent="0.25">
      <c r="E34" s="136"/>
      <c r="F34" s="136"/>
      <c r="G34" s="136"/>
      <c r="H34" s="136"/>
      <c r="I34" s="136"/>
      <c r="J34" s="167"/>
      <c r="K34" s="167"/>
      <c r="L34" s="168"/>
      <c r="M34" s="156"/>
      <c r="N34" s="156"/>
      <c r="O34" s="156"/>
      <c r="P34" s="172"/>
      <c r="Q34" s="173"/>
      <c r="R34" s="174"/>
      <c r="S34" s="175"/>
      <c r="T34" s="175"/>
      <c r="U34" s="175"/>
      <c r="V34" s="175"/>
      <c r="W34" s="116" t="str">
        <v/>
      </c>
      <c r="X34" s="176"/>
    </row>
    <row r="35" spans="4:24" s="181" customFormat="1" ht="16.149999999999999" customHeight="1" thickTop="1" thickBot="1" x14ac:dyDescent="0.2">
      <c r="D35" s="177"/>
      <c r="E35" s="178"/>
      <c r="F35" s="179"/>
      <c r="G35" s="179"/>
      <c r="H35" s="179"/>
      <c r="I35" s="179"/>
      <c r="J35" s="179"/>
      <c r="K35" s="179"/>
      <c r="L35" s="179"/>
      <c r="M35" s="179"/>
      <c r="N35" s="179"/>
      <c r="O35" s="179"/>
      <c r="P35" s="179"/>
      <c r="Q35" s="179"/>
      <c r="R35" s="179"/>
      <c r="S35" s="179"/>
      <c r="T35" s="179"/>
      <c r="U35" s="179"/>
      <c r="V35" s="179"/>
      <c r="W35" s="179"/>
      <c r="X35" s="180"/>
    </row>
    <row r="36" spans="4:24" ht="16.149999999999999" customHeight="1" thickTop="1" x14ac:dyDescent="0.2"/>
    <row r="67" spans="7:23" ht="16.149999999999999" customHeight="1" x14ac:dyDescent="0.2">
      <c r="G67" s="118" t="s">
        <v>44</v>
      </c>
      <c r="H67" s="118" t="s">
        <v>44</v>
      </c>
      <c r="J67" s="118" t="s">
        <v>49</v>
      </c>
      <c r="K67" s="118" t="s">
        <v>49</v>
      </c>
      <c r="M67" s="118" t="s">
        <v>19</v>
      </c>
      <c r="N67" s="118" t="s">
        <v>19</v>
      </c>
      <c r="P67" s="118" t="s">
        <v>97</v>
      </c>
      <c r="S67" s="118" t="s">
        <v>73</v>
      </c>
      <c r="T67" s="118" t="s">
        <v>73</v>
      </c>
      <c r="V67" s="118" t="s">
        <v>55</v>
      </c>
      <c r="W67" s="118" t="s">
        <v>55</v>
      </c>
    </row>
  </sheetData>
  <sheetProtection algorithmName="SHA-512" hashValue="NxiUlhqPPh54sujd73MzZYM5gvjB+rqk/qqJbsP3rOK4p10dONBzsqpskeUl4kPcj8EEsGhb3thNw5/MUAJXXw==" saltValue="kSdUn5926j4CyPzi0UdapQ==" spinCount="100000" sheet="1" objects="1" scenarios="1"/>
  <mergeCells count="4">
    <mergeCell ref="P10:X13"/>
    <mergeCell ref="P14:X14"/>
    <mergeCell ref="P6:X7"/>
    <mergeCell ref="P8:X9"/>
  </mergeCells>
  <printOptions horizontalCentered="1" verticalCentered="1"/>
  <pageMargins left="0.70866141732283472" right="0.70866141732283472" top="0.74803149606299213" bottom="0.74803149606299213" header="0.31496062992125984" footer="0.31496062992125984"/>
  <pageSetup paperSize="9" scale="9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lient05">
    <tabColor rgb="FF00B0F0"/>
    <outlinePr showOutlineSymbols="0"/>
    <pageSetUpPr autoPageBreaks="0" fitToPage="1"/>
  </sheetPr>
  <dimension ref="A1:Z70"/>
  <sheetViews>
    <sheetView showGridLines="0" showRowColHeaders="0" showZeros="0" showOutlineSymbols="0" topLeftCell="A2" zoomScaleNormal="100" workbookViewId="0">
      <pane ySplit="6" topLeftCell="A8" activePane="bottomLeft" state="frozen"/>
      <selection activeCell="M48" sqref="M48"/>
      <selection pane="bottomLeft" activeCell="AB32" sqref="AB32"/>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6" ht="16.149999999999999" hidden="1" customHeight="1" thickTop="1" thickBot="1" x14ac:dyDescent="0.25">
      <c r="A1" s="117" t="str">
        <f ca="1">MID(CELL("filename",A1),FIND("]",CELL("filename",A1))+1,255)</f>
        <v>CONTENTS</v>
      </c>
      <c r="E1" s="120"/>
      <c r="F1" s="121"/>
      <c r="G1" s="121"/>
      <c r="H1" s="121"/>
      <c r="I1" s="121"/>
      <c r="J1" s="121"/>
      <c r="K1" s="121"/>
      <c r="L1" s="121"/>
      <c r="M1" s="121"/>
      <c r="N1" s="121"/>
      <c r="O1" s="121"/>
      <c r="P1" s="121"/>
      <c r="Q1" s="121"/>
      <c r="R1" s="121"/>
      <c r="S1" s="121"/>
      <c r="T1" s="121"/>
      <c r="U1" s="121"/>
      <c r="V1" s="121"/>
      <c r="W1" s="121"/>
      <c r="X1" s="122"/>
    </row>
    <row r="2" spans="1:26"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6" ht="26.45" customHeight="1" x14ac:dyDescent="0.2">
      <c r="E3" s="126"/>
      <c r="F3" s="127"/>
      <c r="G3" s="127"/>
      <c r="H3" s="127"/>
      <c r="I3" s="127"/>
      <c r="J3" s="127"/>
      <c r="K3" s="127"/>
      <c r="L3" s="127"/>
      <c r="M3" s="127"/>
      <c r="N3" s="127"/>
      <c r="O3" s="127"/>
      <c r="P3" s="127"/>
      <c r="Q3" s="127"/>
      <c r="R3" s="127"/>
      <c r="S3" s="127"/>
      <c r="T3" s="127"/>
      <c r="U3" s="127"/>
      <c r="V3" s="127"/>
      <c r="W3" s="127"/>
      <c r="X3" s="128"/>
    </row>
    <row r="4" spans="1:26" ht="26.45" customHeight="1" x14ac:dyDescent="0.2">
      <c r="E4" s="211"/>
      <c r="F4" s="212"/>
      <c r="G4" s="212"/>
      <c r="H4" s="212"/>
      <c r="I4" s="212"/>
      <c r="J4" s="212"/>
      <c r="K4" s="212"/>
      <c r="L4" s="212"/>
      <c r="M4" s="212"/>
      <c r="N4" s="212"/>
      <c r="O4" s="212"/>
      <c r="P4" s="212"/>
      <c r="Q4" s="212"/>
      <c r="R4" s="212"/>
      <c r="S4" s="212"/>
      <c r="T4" s="212"/>
      <c r="U4" s="212"/>
      <c r="V4" s="212"/>
      <c r="W4" s="212"/>
      <c r="X4" s="213"/>
    </row>
    <row r="5" spans="1:26"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6" ht="16.149999999999999" customHeight="1" thickTop="1" x14ac:dyDescent="0.2">
      <c r="E6" s="566" t="str">
        <f>REP.title1</f>
        <v>STEAM FINAL TREND REPORT FOR 2009-2013</v>
      </c>
      <c r="F6" s="567"/>
      <c r="G6" s="567"/>
      <c r="H6" s="567"/>
      <c r="I6" s="567"/>
      <c r="J6" s="567"/>
      <c r="K6" s="567"/>
      <c r="L6" s="567"/>
      <c r="M6" s="567"/>
      <c r="N6" s="567"/>
      <c r="O6" s="567"/>
      <c r="P6" s="568"/>
      <c r="Q6" s="568"/>
      <c r="R6" s="568"/>
      <c r="S6" s="568"/>
      <c r="T6" s="735" t="s">
        <v>144</v>
      </c>
      <c r="U6" s="735"/>
      <c r="V6" s="735"/>
      <c r="W6" s="735"/>
      <c r="X6" s="736"/>
    </row>
    <row r="7" spans="1:26" ht="16.149999999999999" customHeight="1" thickBot="1" x14ac:dyDescent="0.25">
      <c r="E7" s="569" t="str">
        <f>REP.title2</f>
        <v>MORAY HIE</v>
      </c>
      <c r="F7" s="570"/>
      <c r="G7" s="570"/>
      <c r="H7" s="570"/>
      <c r="I7" s="571"/>
      <c r="J7" s="571"/>
      <c r="K7" s="571"/>
      <c r="L7" s="571"/>
      <c r="M7" s="571"/>
      <c r="N7" s="571"/>
      <c r="O7" s="572"/>
      <c r="P7" s="572"/>
      <c r="Q7" s="572"/>
      <c r="R7" s="572"/>
      <c r="S7" s="572"/>
      <c r="T7" s="738"/>
      <c r="U7" s="738"/>
      <c r="V7" s="738"/>
      <c r="W7" s="738"/>
      <c r="X7" s="739"/>
    </row>
    <row r="8" spans="1:26" ht="16.149999999999999" customHeight="1" thickTop="1" thickBot="1" x14ac:dyDescent="0.25">
      <c r="E8" s="250"/>
      <c r="F8" s="251"/>
      <c r="G8" s="251"/>
      <c r="H8" s="251"/>
      <c r="I8" s="251"/>
      <c r="J8" s="251"/>
      <c r="K8" s="251"/>
      <c r="L8" s="251"/>
      <c r="M8" s="251"/>
      <c r="N8" s="251"/>
      <c r="O8" s="250"/>
      <c r="P8" s="251"/>
      <c r="Q8" s="251"/>
      <c r="R8" s="251"/>
      <c r="S8" s="251"/>
      <c r="T8" s="251"/>
      <c r="U8" s="251"/>
      <c r="V8" s="251"/>
      <c r="W8" s="251"/>
      <c r="X8" s="252"/>
    </row>
    <row r="9" spans="1:26" s="132" customFormat="1" ht="16.149999999999999" customHeight="1" thickTop="1" thickBot="1" x14ac:dyDescent="0.25">
      <c r="E9" s="543"/>
      <c r="F9" s="544"/>
      <c r="G9" s="544"/>
      <c r="H9" s="544"/>
      <c r="I9" s="544"/>
      <c r="J9" s="544"/>
      <c r="K9" s="544"/>
      <c r="L9" s="544"/>
      <c r="M9" s="544"/>
      <c r="N9" s="545"/>
      <c r="O9" s="543"/>
      <c r="P9" s="544"/>
      <c r="Q9" s="544"/>
      <c r="R9" s="544"/>
      <c r="S9" s="544"/>
      <c r="T9" s="544"/>
      <c r="U9" s="544"/>
      <c r="V9" s="544"/>
      <c r="W9" s="544"/>
      <c r="X9" s="545"/>
    </row>
    <row r="10" spans="1:26" s="132" customFormat="1" ht="16.149999999999999" customHeight="1" thickTop="1" thickBot="1" x14ac:dyDescent="0.25">
      <c r="E10" s="248"/>
      <c r="F10" s="249"/>
      <c r="G10" s="250"/>
      <c r="H10" s="251"/>
      <c r="I10" s="251"/>
      <c r="J10" s="251"/>
      <c r="K10" s="251"/>
      <c r="L10" s="251"/>
      <c r="M10" s="251"/>
      <c r="N10" s="251"/>
      <c r="O10" s="251"/>
      <c r="P10" s="251"/>
      <c r="Q10" s="251"/>
      <c r="R10" s="252"/>
      <c r="S10" s="253"/>
      <c r="T10" s="253"/>
      <c r="U10" s="254"/>
      <c r="V10" s="255"/>
      <c r="W10" s="255"/>
      <c r="X10" s="256"/>
    </row>
    <row r="11" spans="1:26" s="132" customFormat="1" ht="16.149999999999999" customHeight="1" thickTop="1" thickBot="1" x14ac:dyDescent="0.25">
      <c r="E11" s="248"/>
      <c r="F11" s="249"/>
      <c r="G11" s="248"/>
      <c r="H11" s="257"/>
      <c r="I11" s="249"/>
      <c r="J11" s="248"/>
      <c r="K11" s="257"/>
      <c r="L11" s="249"/>
      <c r="M11" s="258"/>
      <c r="N11" s="259"/>
      <c r="O11" s="260"/>
      <c r="P11" s="258"/>
      <c r="Q11" s="259"/>
      <c r="R11" s="260"/>
      <c r="S11" s="261"/>
      <c r="T11" s="261"/>
      <c r="U11" s="262"/>
      <c r="V11" s="263"/>
      <c r="W11" s="263"/>
      <c r="X11" s="264"/>
    </row>
    <row r="12" spans="1:26" ht="16.149999999999999" customHeight="1" thickTop="1" thickBot="1" x14ac:dyDescent="0.25">
      <c r="E12" s="265"/>
      <c r="F12" s="266"/>
      <c r="G12" s="267"/>
      <c r="H12" s="267"/>
      <c r="I12" s="267"/>
      <c r="J12" s="267"/>
      <c r="K12" s="267"/>
      <c r="L12" s="267"/>
      <c r="M12" s="268"/>
      <c r="N12" s="268"/>
      <c r="O12" s="268"/>
      <c r="P12" s="268"/>
      <c r="Q12" s="268"/>
      <c r="R12" s="268"/>
      <c r="S12" s="269"/>
      <c r="T12" s="269"/>
      <c r="U12" s="270"/>
      <c r="V12" s="270"/>
      <c r="W12" s="220"/>
      <c r="X12" s="220"/>
    </row>
    <row r="13" spans="1:26" ht="16.149999999999999" customHeight="1" thickTop="1" thickBot="1" x14ac:dyDescent="0.25">
      <c r="E13" s="271"/>
      <c r="F13" s="271"/>
      <c r="G13" s="142"/>
      <c r="H13" s="142"/>
      <c r="I13" s="142"/>
      <c r="J13" s="142"/>
      <c r="K13" s="142"/>
      <c r="L13" s="142"/>
      <c r="M13" s="199"/>
      <c r="N13" s="199"/>
      <c r="O13" s="199"/>
      <c r="P13" s="199"/>
      <c r="Q13" s="199"/>
      <c r="R13" s="199"/>
      <c r="S13" s="199"/>
      <c r="T13" s="272"/>
      <c r="U13" s="142"/>
      <c r="V13" s="142"/>
      <c r="W13" s="142"/>
      <c r="X13" s="142"/>
    </row>
    <row r="14" spans="1:26" ht="16.149999999999999" customHeight="1" thickTop="1" thickBot="1" x14ac:dyDescent="0.25">
      <c r="E14" s="271"/>
      <c r="F14" s="271"/>
      <c r="G14" s="142"/>
      <c r="H14" s="142"/>
      <c r="I14" s="142"/>
      <c r="J14" s="142"/>
      <c r="K14" s="142"/>
      <c r="L14" s="142"/>
      <c r="M14" s="199"/>
      <c r="N14" s="199"/>
      <c r="O14" s="199"/>
      <c r="P14" s="199"/>
      <c r="Q14" s="199"/>
      <c r="R14" s="199"/>
      <c r="S14" s="199"/>
      <c r="T14" s="272"/>
      <c r="U14" s="142"/>
      <c r="V14" s="142"/>
      <c r="W14" s="142"/>
      <c r="X14" s="142"/>
    </row>
    <row r="15" spans="1:26" ht="16.149999999999999" customHeight="1" thickTop="1" thickBot="1" x14ac:dyDescent="0.25">
      <c r="E15" s="271"/>
      <c r="F15" s="271"/>
      <c r="G15" s="142"/>
      <c r="H15" s="142"/>
      <c r="I15" s="142"/>
      <c r="J15" s="142"/>
      <c r="K15" s="142"/>
      <c r="L15" s="142"/>
      <c r="M15" s="199"/>
      <c r="N15" s="199"/>
      <c r="O15" s="199"/>
      <c r="P15" s="199"/>
      <c r="Q15" s="199"/>
      <c r="R15" s="199"/>
      <c r="S15" s="199"/>
      <c r="T15" s="272"/>
      <c r="U15" s="142"/>
      <c r="V15" s="142"/>
      <c r="W15" s="142"/>
      <c r="X15" s="142"/>
    </row>
    <row r="16" spans="1:26" ht="16.149999999999999" customHeight="1" thickTop="1" thickBot="1" x14ac:dyDescent="0.25">
      <c r="E16" s="273"/>
      <c r="F16" s="274"/>
      <c r="G16" s="275"/>
      <c r="H16" s="275"/>
      <c r="I16" s="275"/>
      <c r="J16" s="275"/>
      <c r="K16" s="275"/>
      <c r="L16" s="275"/>
      <c r="M16" s="276"/>
      <c r="N16" s="276"/>
      <c r="O16" s="276"/>
      <c r="P16" s="276"/>
      <c r="Q16" s="276"/>
      <c r="R16" s="276"/>
      <c r="S16" s="276"/>
      <c r="T16" s="272"/>
      <c r="U16" s="275"/>
      <c r="V16" s="275"/>
      <c r="W16" s="276"/>
      <c r="X16" s="276"/>
      <c r="Y16" s="277"/>
      <c r="Z16" s="118" t="b">
        <f>K16&gt;1000000</f>
        <v>0</v>
      </c>
    </row>
    <row r="17" spans="4:24" ht="16.149999999999999" customHeight="1" thickTop="1" thickBot="1" x14ac:dyDescent="0.25">
      <c r="E17" s="273"/>
      <c r="F17" s="274"/>
      <c r="G17" s="275"/>
      <c r="H17" s="275"/>
      <c r="I17" s="275"/>
      <c r="J17" s="275"/>
      <c r="K17" s="275"/>
      <c r="L17" s="275"/>
      <c r="M17" s="276"/>
      <c r="N17" s="276"/>
      <c r="O17" s="276"/>
      <c r="P17" s="276"/>
      <c r="Q17" s="276"/>
      <c r="R17" s="276"/>
      <c r="S17" s="276"/>
      <c r="T17" s="142"/>
      <c r="U17" s="275"/>
      <c r="V17" s="275"/>
      <c r="W17" s="276"/>
      <c r="X17" s="276"/>
    </row>
    <row r="18" spans="4:24" ht="16.149999999999999" customHeight="1" thickTop="1" thickBot="1" x14ac:dyDescent="0.25">
      <c r="E18" s="273"/>
      <c r="F18" s="274"/>
      <c r="G18" s="275"/>
      <c r="H18" s="275"/>
      <c r="I18" s="275"/>
      <c r="J18" s="275"/>
      <c r="K18" s="275"/>
      <c r="L18" s="275"/>
      <c r="M18" s="276"/>
      <c r="N18" s="276"/>
      <c r="O18" s="276"/>
      <c r="P18" s="276"/>
      <c r="Q18" s="276"/>
      <c r="R18" s="276"/>
      <c r="S18" s="276"/>
      <c r="T18" s="142"/>
      <c r="U18" s="275"/>
      <c r="V18" s="275"/>
      <c r="W18" s="276"/>
      <c r="X18" s="276"/>
    </row>
    <row r="19" spans="4:24" ht="16.149999999999999" customHeight="1" thickTop="1" thickBot="1" x14ac:dyDescent="0.25">
      <c r="E19" s="273"/>
      <c r="F19" s="236"/>
      <c r="G19" s="278"/>
      <c r="H19" s="278"/>
      <c r="I19" s="278"/>
      <c r="J19" s="278"/>
      <c r="K19" s="278"/>
      <c r="L19" s="278"/>
      <c r="M19" s="279"/>
      <c r="N19" s="279"/>
      <c r="O19" s="280"/>
      <c r="P19" s="279"/>
      <c r="Q19" s="279"/>
      <c r="R19" s="279"/>
      <c r="S19" s="279"/>
      <c r="T19" s="281"/>
      <c r="U19" s="278"/>
      <c r="V19" s="278"/>
      <c r="W19" s="279"/>
      <c r="X19" s="282"/>
    </row>
    <row r="20" spans="4:24" ht="16.149999999999999" customHeight="1" thickTop="1" thickBot="1" x14ac:dyDescent="0.25">
      <c r="E20" s="250"/>
      <c r="F20" s="251"/>
      <c r="G20" s="251"/>
      <c r="H20" s="251"/>
      <c r="I20" s="251"/>
      <c r="J20" s="251"/>
      <c r="K20" s="251"/>
      <c r="L20" s="251"/>
      <c r="M20" s="251"/>
      <c r="N20" s="251"/>
      <c r="O20" s="550"/>
      <c r="P20" s="551"/>
      <c r="Q20" s="551"/>
      <c r="R20" s="551"/>
      <c r="S20" s="551"/>
      <c r="T20" s="551"/>
      <c r="U20" s="551"/>
      <c r="V20" s="551"/>
      <c r="W20" s="551"/>
      <c r="X20" s="552"/>
    </row>
    <row r="21" spans="4:24" ht="16.149999999999999" customHeight="1" thickTop="1" thickBot="1" x14ac:dyDescent="0.25">
      <c r="E21" s="543"/>
      <c r="F21" s="544"/>
      <c r="G21" s="544"/>
      <c r="H21" s="544"/>
      <c r="I21" s="544"/>
      <c r="J21" s="544"/>
      <c r="K21" s="544"/>
      <c r="L21" s="544"/>
      <c r="M21" s="544"/>
      <c r="N21" s="545"/>
      <c r="O21" s="543"/>
      <c r="P21" s="544"/>
      <c r="Q21" s="544"/>
      <c r="R21" s="544"/>
      <c r="S21" s="544"/>
      <c r="T21" s="544"/>
      <c r="U21" s="544"/>
      <c r="V21" s="544"/>
      <c r="W21" s="544"/>
      <c r="X21" s="545"/>
    </row>
    <row r="22" spans="4:24" ht="16.149999999999999" customHeight="1" thickTop="1" thickBot="1" x14ac:dyDescent="0.25">
      <c r="E22" s="248"/>
      <c r="F22" s="249"/>
      <c r="G22" s="250"/>
      <c r="H22" s="251"/>
      <c r="I22" s="251"/>
      <c r="J22" s="251"/>
      <c r="K22" s="251"/>
      <c r="L22" s="251"/>
      <c r="M22" s="251"/>
      <c r="N22" s="251"/>
      <c r="O22" s="248"/>
      <c r="P22" s="249"/>
      <c r="Q22" s="250"/>
      <c r="R22" s="251"/>
      <c r="S22" s="251"/>
      <c r="T22" s="251"/>
      <c r="U22" s="251"/>
      <c r="V22" s="251"/>
      <c r="W22" s="251"/>
      <c r="X22" s="252"/>
    </row>
    <row r="23" spans="4:24" ht="16.149999999999999" customHeight="1" thickTop="1" thickBot="1" x14ac:dyDescent="0.25">
      <c r="E23" s="248"/>
      <c r="F23" s="249"/>
      <c r="G23" s="248"/>
      <c r="H23" s="257"/>
      <c r="I23" s="249"/>
      <c r="J23" s="248"/>
      <c r="K23" s="257"/>
      <c r="L23" s="249"/>
      <c r="M23" s="258"/>
      <c r="N23" s="259"/>
      <c r="O23" s="248"/>
      <c r="P23" s="249"/>
      <c r="Q23" s="248"/>
      <c r="R23" s="257"/>
      <c r="S23" s="249"/>
      <c r="T23" s="248"/>
      <c r="U23" s="257"/>
      <c r="V23" s="249"/>
      <c r="W23" s="258"/>
      <c r="X23" s="260"/>
    </row>
    <row r="24" spans="4:24" ht="16.149999999999999" customHeight="1" thickTop="1" thickBot="1" x14ac:dyDescent="0.25">
      <c r="E24" s="265"/>
      <c r="F24" s="266"/>
      <c r="G24" s="267"/>
      <c r="H24" s="267"/>
      <c r="I24" s="267"/>
      <c r="J24" s="267"/>
      <c r="K24" s="267"/>
      <c r="L24" s="267"/>
      <c r="M24" s="268"/>
      <c r="N24" s="268"/>
      <c r="O24" s="265"/>
      <c r="P24" s="266"/>
      <c r="Q24" s="267"/>
      <c r="R24" s="267"/>
      <c r="S24" s="267"/>
      <c r="T24" s="267"/>
      <c r="U24" s="267"/>
      <c r="V24" s="267"/>
      <c r="W24" s="268"/>
      <c r="X24" s="140"/>
    </row>
    <row r="25" spans="4:24" ht="16.149999999999999" customHeight="1" thickTop="1" thickBot="1" x14ac:dyDescent="0.25">
      <c r="E25" s="271"/>
      <c r="F25" s="271"/>
      <c r="G25" s="142"/>
      <c r="H25" s="142"/>
      <c r="I25" s="142"/>
      <c r="J25" s="142"/>
      <c r="K25" s="142"/>
      <c r="L25" s="142"/>
      <c r="M25" s="199"/>
      <c r="N25" s="199"/>
      <c r="O25" s="271"/>
      <c r="P25" s="271"/>
      <c r="Q25" s="142"/>
      <c r="R25" s="142"/>
      <c r="S25" s="142"/>
      <c r="T25" s="142"/>
      <c r="U25" s="142"/>
      <c r="V25" s="142"/>
      <c r="W25" s="199"/>
      <c r="X25" s="199"/>
    </row>
    <row r="26" spans="4:24" ht="16.149999999999999" customHeight="1" thickTop="1" thickBot="1" x14ac:dyDescent="0.25">
      <c r="E26" s="271"/>
      <c r="F26" s="271"/>
      <c r="G26" s="142"/>
      <c r="H26" s="142"/>
      <c r="I26" s="142"/>
      <c r="J26" s="142"/>
      <c r="K26" s="142"/>
      <c r="L26" s="142"/>
      <c r="M26" s="199"/>
      <c r="N26" s="199"/>
      <c r="O26" s="271"/>
      <c r="P26" s="271"/>
      <c r="Q26" s="142"/>
      <c r="R26" s="142"/>
      <c r="S26" s="142"/>
      <c r="T26" s="142"/>
      <c r="U26" s="142"/>
      <c r="V26" s="142"/>
      <c r="W26" s="199"/>
      <c r="X26" s="199"/>
    </row>
    <row r="27" spans="4:24" ht="16.149999999999999" customHeight="1" thickTop="1" thickBot="1" x14ac:dyDescent="0.25">
      <c r="D27" s="203" t="str">
        <f ca="1">"'"&amp;$A$1&amp;"'!"&amp;CELL("address",G27)&amp;":"&amp;CELL("address",OFFSET(G27,0,COUNT(REP.yearsrange)-1))</f>
        <v>'CONTENTS'!$G$27:$K$27</v>
      </c>
      <c r="E27" s="271"/>
      <c r="F27" s="271"/>
      <c r="G27" s="142"/>
      <c r="H27" s="142"/>
      <c r="I27" s="142"/>
      <c r="J27" s="142"/>
      <c r="K27" s="142"/>
      <c r="L27" s="142"/>
      <c r="M27" s="199"/>
      <c r="N27" s="199"/>
      <c r="O27" s="271"/>
      <c r="P27" s="271"/>
      <c r="Q27" s="142"/>
      <c r="R27" s="142"/>
      <c r="S27" s="142"/>
      <c r="T27" s="142"/>
      <c r="U27" s="142"/>
      <c r="V27" s="142"/>
      <c r="W27" s="199"/>
      <c r="X27" s="199"/>
    </row>
    <row r="28" spans="4:24" ht="16.149999999999999" customHeight="1" thickTop="1" thickBot="1" x14ac:dyDescent="0.25">
      <c r="D28" s="203" t="str">
        <f ca="1">"'"&amp;$A$1&amp;"'!"&amp;CELL("address",G28)&amp;":"&amp;CELL("address",OFFSET(G28,0,COUNT(REP.yearsrange)-1))</f>
        <v>'CONTENTS'!$G$28:$K$28</v>
      </c>
      <c r="E28" s="273"/>
      <c r="F28" s="274"/>
      <c r="G28" s="275"/>
      <c r="H28" s="275"/>
      <c r="I28" s="275"/>
      <c r="J28" s="275"/>
      <c r="K28" s="275"/>
      <c r="L28" s="275"/>
      <c r="M28" s="276"/>
      <c r="N28" s="276"/>
      <c r="O28" s="273"/>
      <c r="P28" s="274"/>
      <c r="Q28" s="275"/>
      <c r="R28" s="275"/>
      <c r="S28" s="275"/>
      <c r="T28" s="275"/>
      <c r="U28" s="275"/>
      <c r="V28" s="275"/>
      <c r="W28" s="276"/>
      <c r="X28" s="276"/>
    </row>
    <row r="29" spans="4:24" ht="16.149999999999999" customHeight="1" thickTop="1" thickBot="1" x14ac:dyDescent="0.25">
      <c r="D29" s="203" t="str">
        <f ca="1">"'"&amp;$A$1&amp;"'!"&amp;CELL("address",G29)&amp;":"&amp;CELL("address",OFFSET(G29,0,COUNT(REP.yearsrange)-1))</f>
        <v>'CONTENTS'!$G$29:$K$29</v>
      </c>
      <c r="E29" s="273"/>
      <c r="F29" s="274"/>
      <c r="G29" s="275"/>
      <c r="H29" s="275"/>
      <c r="I29" s="275"/>
      <c r="J29" s="275"/>
      <c r="K29" s="275"/>
      <c r="L29" s="275"/>
      <c r="M29" s="276"/>
      <c r="N29" s="276"/>
      <c r="O29" s="273"/>
      <c r="P29" s="274"/>
      <c r="Q29" s="275"/>
      <c r="R29" s="275"/>
      <c r="S29" s="275"/>
      <c r="T29" s="275"/>
      <c r="U29" s="275"/>
      <c r="V29" s="275"/>
      <c r="W29" s="276"/>
      <c r="X29" s="276"/>
    </row>
    <row r="30" spans="4:24" ht="16.149999999999999" customHeight="1" thickTop="1" thickBot="1" x14ac:dyDescent="0.25">
      <c r="D30" s="203" t="str">
        <f ca="1">"'"&amp;$A$1&amp;"'!"&amp;CELL("address",G30)&amp;":"&amp;CELL("address",OFFSET(G30,0,COUNT(REP.yearsrange)-1))</f>
        <v>'CONTENTS'!$G$30:$K$30</v>
      </c>
      <c r="E30" s="273"/>
      <c r="F30" s="274"/>
      <c r="G30" s="275"/>
      <c r="H30" s="275"/>
      <c r="I30" s="275"/>
      <c r="J30" s="275"/>
      <c r="K30" s="275"/>
      <c r="L30" s="275"/>
      <c r="M30" s="276"/>
      <c r="N30" s="276"/>
      <c r="O30" s="273"/>
      <c r="P30" s="274"/>
      <c r="Q30" s="275"/>
      <c r="R30" s="275"/>
      <c r="S30" s="275"/>
      <c r="T30" s="275"/>
      <c r="U30" s="275"/>
      <c r="V30" s="275"/>
      <c r="W30" s="276"/>
      <c r="X30" s="276"/>
    </row>
    <row r="31" spans="4:24" ht="16.149999999999999" customHeight="1" thickTop="1" thickBot="1" x14ac:dyDescent="0.25">
      <c r="D31" s="203" t="str">
        <f ca="1">"'"&amp;$A$1&amp;"'!"&amp;CELL("address",G31)&amp;":"&amp;CELL("address",OFFSET(G31,0,COUNT(REP.yearsrange)-1))</f>
        <v>'CONTENTS'!$G$31:$K$31</v>
      </c>
      <c r="E31" s="273"/>
      <c r="F31" s="274"/>
      <c r="G31" s="275"/>
      <c r="H31" s="275"/>
      <c r="I31" s="275"/>
      <c r="J31" s="275"/>
      <c r="K31" s="275"/>
      <c r="L31" s="275"/>
      <c r="M31" s="276"/>
      <c r="N31" s="276"/>
      <c r="O31" s="273"/>
      <c r="P31" s="274"/>
      <c r="Q31" s="275"/>
      <c r="R31" s="275"/>
      <c r="S31" s="275"/>
      <c r="T31" s="275"/>
      <c r="U31" s="275"/>
      <c r="V31" s="275"/>
      <c r="W31" s="276"/>
      <c r="X31" s="276"/>
    </row>
    <row r="32" spans="4:24" ht="16.149999999999999" customHeight="1" thickTop="1" thickBot="1" x14ac:dyDescent="0.25">
      <c r="D32" s="203" t="str">
        <f ca="1">"'"&amp;$A$1&amp;"'!"&amp;CELL("address",G32)&amp;":"&amp;CELL("address",OFFSET(G32,0,COUNT(REP.yearsrange)-1))</f>
        <v>'CONTENTS'!$G$32:$K$32</v>
      </c>
      <c r="E32" s="250"/>
      <c r="F32" s="252"/>
      <c r="G32" s="553"/>
      <c r="H32" s="553"/>
      <c r="I32" s="554"/>
      <c r="J32" s="554"/>
      <c r="K32" s="554"/>
      <c r="L32" s="554"/>
      <c r="M32" s="554"/>
      <c r="N32" s="554"/>
      <c r="O32" s="554"/>
      <c r="P32" s="554"/>
      <c r="Q32" s="554"/>
      <c r="R32" s="554"/>
      <c r="S32" s="275"/>
      <c r="T32" s="546"/>
      <c r="U32" s="546"/>
      <c r="V32" s="546"/>
      <c r="W32" s="546"/>
      <c r="X32" s="547"/>
    </row>
    <row r="33" spans="4:24" ht="16.149999999999999" customHeight="1" thickTop="1" thickBot="1" x14ac:dyDescent="0.25">
      <c r="D33" s="203"/>
      <c r="E33" s="555"/>
      <c r="F33" s="556"/>
      <c r="G33" s="142"/>
      <c r="H33" s="142"/>
      <c r="I33" s="142"/>
      <c r="J33" s="142"/>
      <c r="K33" s="142"/>
      <c r="L33" s="142"/>
      <c r="M33" s="142"/>
      <c r="N33" s="142"/>
      <c r="O33" s="142"/>
      <c r="P33" s="142"/>
      <c r="Q33" s="142"/>
      <c r="R33" s="142"/>
      <c r="S33" s="283"/>
      <c r="T33" s="548"/>
      <c r="U33" s="548"/>
      <c r="V33" s="548"/>
      <c r="W33" s="548"/>
      <c r="X33" s="549"/>
    </row>
    <row r="34" spans="4:24" ht="16.149999999999999" customHeight="1" thickTop="1" thickBot="1" x14ac:dyDescent="0.25">
      <c r="D34" s="203"/>
      <c r="E34" s="555"/>
      <c r="F34" s="556"/>
      <c r="G34" s="142"/>
      <c r="H34" s="142"/>
      <c r="I34" s="142"/>
      <c r="J34" s="142"/>
      <c r="K34" s="142"/>
      <c r="L34" s="142"/>
      <c r="M34" s="142"/>
      <c r="N34" s="142"/>
      <c r="O34" s="142"/>
      <c r="P34" s="142"/>
      <c r="Q34" s="142"/>
      <c r="R34" s="142"/>
      <c r="S34" s="283"/>
      <c r="T34" s="283"/>
      <c r="U34" s="283"/>
      <c r="V34" s="283"/>
      <c r="W34" s="284"/>
      <c r="X34" s="285"/>
    </row>
    <row r="35" spans="4:24" ht="16.149999999999999" customHeight="1" thickTop="1" thickBot="1" x14ac:dyDescent="0.25">
      <c r="D35" s="203"/>
      <c r="E35" s="555"/>
      <c r="F35" s="556"/>
      <c r="G35" s="142"/>
      <c r="H35" s="142"/>
      <c r="I35" s="142"/>
      <c r="J35" s="142"/>
      <c r="K35" s="142"/>
      <c r="L35" s="142"/>
      <c r="M35" s="142"/>
      <c r="N35" s="142"/>
      <c r="O35" s="142"/>
      <c r="P35" s="142"/>
      <c r="Q35" s="142"/>
      <c r="R35" s="142"/>
      <c r="S35" s="283"/>
      <c r="T35" s="283"/>
      <c r="U35" s="283"/>
      <c r="V35" s="283"/>
      <c r="W35" s="284"/>
      <c r="X35" s="285"/>
    </row>
    <row r="36" spans="4:24" ht="16.149999999999999" customHeight="1" thickTop="1" thickBot="1" x14ac:dyDescent="0.25">
      <c r="D36" s="203"/>
      <c r="E36" s="557"/>
      <c r="F36" s="558"/>
      <c r="G36" s="142"/>
      <c r="H36" s="142"/>
      <c r="I36" s="142"/>
      <c r="J36" s="142"/>
      <c r="K36" s="142"/>
      <c r="L36" s="142"/>
      <c r="M36" s="142"/>
      <c r="N36" s="142"/>
      <c r="O36" s="142"/>
      <c r="P36" s="142"/>
      <c r="Q36" s="142"/>
      <c r="R36" s="142"/>
      <c r="S36" s="283"/>
      <c r="T36" s="283"/>
      <c r="U36" s="283"/>
      <c r="V36" s="283"/>
      <c r="W36" s="284"/>
      <c r="X36" s="285"/>
    </row>
    <row r="37" spans="4:24" ht="16.149999999999999" customHeight="1" thickTop="1" thickBot="1" x14ac:dyDescent="0.25">
      <c r="D37" s="203"/>
      <c r="E37" s="451"/>
      <c r="F37" s="452"/>
      <c r="G37" s="453"/>
      <c r="H37" s="453"/>
      <c r="I37" s="453"/>
      <c r="J37" s="453"/>
      <c r="K37" s="453"/>
      <c r="L37" s="453"/>
      <c r="M37" s="453"/>
      <c r="N37" s="453"/>
      <c r="O37" s="453"/>
      <c r="P37" s="453"/>
      <c r="Q37" s="453"/>
      <c r="R37" s="453"/>
      <c r="S37" s="283"/>
      <c r="T37" s="283"/>
      <c r="U37" s="283"/>
      <c r="V37" s="283"/>
      <c r="W37" s="284"/>
      <c r="X37" s="285"/>
    </row>
    <row r="38" spans="4:24" s="181"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247"/>
      <c r="H40" s="247"/>
      <c r="I40" s="247"/>
      <c r="J40" s="247"/>
      <c r="K40" s="247"/>
      <c r="L40" s="247"/>
      <c r="M40" s="247"/>
      <c r="N40" s="247"/>
      <c r="O40" s="247"/>
      <c r="P40" s="247"/>
      <c r="Q40" s="247"/>
      <c r="R40" s="247"/>
      <c r="S40" s="247"/>
      <c r="T40" s="247"/>
      <c r="U40" s="247"/>
      <c r="V40" s="247"/>
    </row>
    <row r="41" spans="4:24" ht="16.149999999999999" customHeight="1" x14ac:dyDescent="0.2">
      <c r="G41" s="247"/>
      <c r="H41" s="247"/>
      <c r="I41" s="247"/>
      <c r="J41" s="247"/>
      <c r="K41" s="247"/>
      <c r="L41" s="247"/>
      <c r="M41" s="247"/>
      <c r="N41" s="247"/>
      <c r="O41" s="247"/>
      <c r="P41" s="247"/>
      <c r="Q41" s="247"/>
      <c r="R41" s="247"/>
      <c r="S41" s="247"/>
      <c r="T41" s="247"/>
      <c r="U41" s="247"/>
      <c r="V41" s="247"/>
    </row>
    <row r="70" spans="7:23" ht="16.149999999999999" customHeight="1" x14ac:dyDescent="0.2">
      <c r="G70" s="118" t="s">
        <v>44</v>
      </c>
      <c r="H70" s="118" t="s">
        <v>44</v>
      </c>
      <c r="J70" s="118" t="s">
        <v>49</v>
      </c>
      <c r="K70" s="118" t="s">
        <v>49</v>
      </c>
      <c r="M70" s="118" t="s">
        <v>19</v>
      </c>
      <c r="N70" s="118" t="s">
        <v>19</v>
      </c>
      <c r="P70" s="118" t="s">
        <v>97</v>
      </c>
      <c r="S70" s="118" t="s">
        <v>73</v>
      </c>
      <c r="T70" s="118" t="s">
        <v>73</v>
      </c>
      <c r="V70" s="118" t="s">
        <v>55</v>
      </c>
      <c r="W70" s="118" t="s">
        <v>55</v>
      </c>
    </row>
  </sheetData>
  <sheetProtection algorithmName="SHA-512" hashValue="RuqVOmLPZKLa5jSGJfJz0Uh0faAgDs0xoRak2e95KLVJuVmR2qvBMkIFGMozmPLwmVOrS93tSETCfp/h2AT/Qw==" saltValue="uZEehLZAG0GMKjn2AuqO+w==" spinCount="100000" sheet="1" objects="1" scenarios="1"/>
  <mergeCells count="1">
    <mergeCell ref="T6:X7"/>
  </mergeCells>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 filterMode="1">
    <tabColor rgb="FFFFFF00"/>
  </sheetPr>
  <dimension ref="A1:U920"/>
  <sheetViews>
    <sheetView showGridLines="0" showRowColHeaders="0" topLeftCell="D1" zoomScale="68" zoomScaleNormal="68" workbookViewId="0">
      <pane ySplit="8" topLeftCell="A9" activePane="bottomLeft" state="frozen"/>
      <selection activeCell="M48" sqref="M48"/>
      <selection pane="bottomLeft" activeCell="D9" sqref="D9"/>
    </sheetView>
  </sheetViews>
  <sheetFormatPr defaultColWidth="18.7109375" defaultRowHeight="12.75" customHeight="1" x14ac:dyDescent="0.2"/>
  <cols>
    <col min="1" max="1" width="51.85546875" style="110" hidden="1" customWidth="1"/>
    <col min="2" max="2" width="8.5703125" style="110" hidden="1" customWidth="1"/>
    <col min="3" max="3" width="51.85546875" style="110" hidden="1" customWidth="1"/>
    <col min="4" max="4" width="8.5703125" style="110" customWidth="1"/>
    <col min="5" max="5" width="31.28515625" style="110" customWidth="1"/>
    <col min="6" max="7" width="30.42578125" style="110" customWidth="1"/>
    <col min="8" max="20" width="12.28515625" style="110" customWidth="1"/>
    <col min="21" max="21" width="15.42578125" style="110" customWidth="1"/>
    <col min="22" max="16384" width="18.7109375" style="537"/>
  </cols>
  <sheetData>
    <row r="1" spans="1:21" s="534" customFormat="1" ht="14.45" customHeight="1" x14ac:dyDescent="0.25">
      <c r="A1" s="183"/>
      <c r="B1" s="183"/>
      <c r="C1" s="183"/>
      <c r="D1" s="182" t="str">
        <f>REP.gts</f>
        <v>Global Tourism Solutions (UK) Ltd</v>
      </c>
      <c r="E1" s="183"/>
      <c r="F1" s="183"/>
      <c r="G1" s="183"/>
      <c r="H1" s="183"/>
      <c r="I1" s="183"/>
      <c r="J1" s="183"/>
      <c r="K1" s="183"/>
      <c r="L1" s="183"/>
      <c r="M1" s="183"/>
      <c r="N1" s="183"/>
      <c r="O1" s="183"/>
      <c r="P1" s="183"/>
      <c r="Q1" s="183"/>
      <c r="R1" s="183"/>
      <c r="S1" s="183"/>
      <c r="T1" s="183"/>
      <c r="U1" s="184"/>
    </row>
    <row r="2" spans="1:21" s="535" customFormat="1" ht="14.45" customHeight="1" x14ac:dyDescent="0.2">
      <c r="A2" s="185"/>
      <c r="B2" s="185"/>
      <c r="C2" s="185"/>
      <c r="D2" s="107" t="str">
        <f>REP.product&amp;" - "&amp;REP.authority&amp;IF(ISBLANK(REP.subzone)," - "," - "&amp;REP.subzone&amp;" - ")&amp;MIN(REP.yearsrange)&amp;" to "&amp;MAX(REP.yearsrange)</f>
        <v>STEAM - Moray HIE - 2009 to 2013</v>
      </c>
      <c r="E2" s="185"/>
      <c r="F2" s="185"/>
      <c r="G2" s="185"/>
      <c r="H2" s="185"/>
      <c r="I2" s="185"/>
      <c r="J2" s="185"/>
      <c r="K2" s="185"/>
      <c r="L2" s="185"/>
      <c r="M2" s="185"/>
      <c r="N2" s="185"/>
      <c r="O2" s="185"/>
      <c r="P2" s="185"/>
      <c r="Q2" s="185"/>
      <c r="R2" s="185"/>
      <c r="S2" s="185"/>
      <c r="T2" s="185"/>
      <c r="U2" s="186"/>
    </row>
    <row r="3" spans="1:21" s="535" customFormat="1" ht="14.45" customHeight="1" x14ac:dyDescent="0.2">
      <c r="A3" s="185"/>
      <c r="B3" s="185"/>
      <c r="C3" s="185"/>
      <c r="D3" s="108" t="str">
        <f ca="1">MID(CELL("filename",A1),FIND("]",CELL("filename",A1))+1,255)</f>
        <v>DATA</v>
      </c>
      <c r="E3" s="185"/>
      <c r="F3" s="185"/>
      <c r="G3" s="185"/>
      <c r="H3" s="185"/>
      <c r="I3" s="185"/>
      <c r="J3" s="185"/>
      <c r="K3" s="185"/>
      <c r="L3" s="185"/>
      <c r="M3" s="185"/>
      <c r="N3" s="185"/>
      <c r="O3" s="185"/>
      <c r="P3" s="185"/>
      <c r="Q3" s="185"/>
      <c r="R3" s="185"/>
      <c r="S3" s="185"/>
      <c r="T3" s="185"/>
      <c r="U3" s="186"/>
    </row>
    <row r="4" spans="1:21" s="535" customFormat="1" ht="14.45" customHeight="1" x14ac:dyDescent="0.2">
      <c r="A4" s="185"/>
      <c r="B4" s="185"/>
      <c r="C4" s="185"/>
      <c r="D4" s="108"/>
      <c r="E4" s="185"/>
      <c r="F4" s="185"/>
      <c r="G4" s="185"/>
      <c r="H4" s="185"/>
      <c r="I4" s="185"/>
      <c r="J4" s="185"/>
      <c r="K4" s="185"/>
      <c r="L4" s="185"/>
      <c r="M4" s="185"/>
      <c r="N4" s="185"/>
      <c r="O4" s="185"/>
      <c r="P4" s="185"/>
      <c r="Q4" s="185"/>
      <c r="R4" s="185"/>
      <c r="S4" s="185"/>
      <c r="T4" s="185"/>
      <c r="U4" s="186"/>
    </row>
    <row r="5" spans="1:21" s="534" customFormat="1" ht="14.45" customHeight="1" x14ac:dyDescent="0.25">
      <c r="A5" s="183"/>
      <c r="B5" s="183"/>
      <c r="C5" s="183"/>
      <c r="D5" s="108" t="str">
        <f>REP.footer1</f>
        <v>This report is copyright © Global Tourism Solutions (UK) Ltd 2014</v>
      </c>
      <c r="E5" s="183"/>
      <c r="F5" s="183"/>
      <c r="G5" s="183"/>
      <c r="H5" s="183"/>
      <c r="I5" s="183"/>
      <c r="J5" s="183"/>
      <c r="K5" s="183"/>
      <c r="L5" s="183"/>
      <c r="M5" s="183"/>
      <c r="N5" s="183"/>
      <c r="O5" s="183"/>
      <c r="P5" s="183"/>
      <c r="Q5" s="183"/>
      <c r="R5" s="183"/>
      <c r="S5" s="183"/>
      <c r="T5" s="183"/>
      <c r="U5" s="184"/>
    </row>
    <row r="6" spans="1:21" s="534" customFormat="1" ht="14.45" customHeight="1" x14ac:dyDescent="0.25">
      <c r="A6" s="183"/>
      <c r="B6" s="183"/>
      <c r="C6" s="183"/>
      <c r="D6" s="109" t="str">
        <f>REP.footer2</f>
        <v>Report Prepared by: Alison Tipler. Date of Issue: 11/04/14</v>
      </c>
      <c r="E6" s="183"/>
      <c r="F6" s="183"/>
      <c r="G6" s="183"/>
      <c r="H6" s="183"/>
      <c r="I6" s="183"/>
      <c r="J6" s="183"/>
      <c r="K6" s="183"/>
      <c r="L6" s="183"/>
      <c r="M6" s="183"/>
      <c r="N6" s="183"/>
      <c r="O6" s="183"/>
      <c r="P6" s="183"/>
      <c r="Q6" s="183"/>
      <c r="R6" s="183"/>
      <c r="S6" s="183"/>
      <c r="T6" s="183"/>
      <c r="U6" s="184"/>
    </row>
    <row r="7" spans="1:21" s="534" customFormat="1" ht="4.9000000000000004" hidden="1" customHeight="1" x14ac:dyDescent="0.25">
      <c r="A7" s="183">
        <v>-1</v>
      </c>
      <c r="B7" s="183">
        <v>0</v>
      </c>
      <c r="C7" s="183">
        <v>1</v>
      </c>
      <c r="D7" s="109">
        <v>2</v>
      </c>
      <c r="E7" s="183">
        <v>3</v>
      </c>
      <c r="F7" s="183">
        <v>4</v>
      </c>
      <c r="G7" s="183">
        <v>5</v>
      </c>
      <c r="H7" s="183">
        <v>6</v>
      </c>
      <c r="I7" s="183">
        <v>7</v>
      </c>
      <c r="J7" s="183">
        <v>8</v>
      </c>
      <c r="K7" s="183">
        <v>9</v>
      </c>
      <c r="L7" s="183">
        <v>10</v>
      </c>
      <c r="M7" s="183">
        <v>11</v>
      </c>
      <c r="N7" s="183">
        <v>12</v>
      </c>
      <c r="O7" s="183">
        <v>13</v>
      </c>
      <c r="P7" s="183">
        <v>14</v>
      </c>
      <c r="Q7" s="183">
        <v>15</v>
      </c>
      <c r="R7" s="183">
        <v>16</v>
      </c>
      <c r="S7" s="183">
        <v>17</v>
      </c>
      <c r="T7" s="183">
        <v>18</v>
      </c>
      <c r="U7" s="184">
        <v>19</v>
      </c>
    </row>
    <row r="8" spans="1:21" s="536" customFormat="1" ht="15.75" x14ac:dyDescent="0.2">
      <c r="A8" s="187" t="s">
        <v>138</v>
      </c>
      <c r="B8" s="187" t="s">
        <v>139</v>
      </c>
      <c r="C8" s="187" t="s">
        <v>40</v>
      </c>
      <c r="D8" s="187" t="s">
        <v>16</v>
      </c>
      <c r="E8" s="187" t="s">
        <v>25</v>
      </c>
      <c r="F8" s="187" t="s">
        <v>26</v>
      </c>
      <c r="G8" s="187" t="s">
        <v>26</v>
      </c>
      <c r="H8" s="187" t="s">
        <v>27</v>
      </c>
      <c r="I8" s="187" t="s">
        <v>28</v>
      </c>
      <c r="J8" s="187" t="s">
        <v>29</v>
      </c>
      <c r="K8" s="187" t="s">
        <v>30</v>
      </c>
      <c r="L8" s="187" t="s">
        <v>31</v>
      </c>
      <c r="M8" s="187" t="s">
        <v>32</v>
      </c>
      <c r="N8" s="187" t="s">
        <v>33</v>
      </c>
      <c r="O8" s="187" t="s">
        <v>34</v>
      </c>
      <c r="P8" s="187" t="s">
        <v>35</v>
      </c>
      <c r="Q8" s="187" t="s">
        <v>36</v>
      </c>
      <c r="R8" s="187" t="s">
        <v>37</v>
      </c>
      <c r="S8" s="187" t="s">
        <v>38</v>
      </c>
      <c r="T8" s="187" t="s">
        <v>39</v>
      </c>
      <c r="U8" s="187" t="s">
        <v>57</v>
      </c>
    </row>
    <row r="9" spans="1:21" x14ac:dyDescent="0.2">
      <c r="A9" s="537" t="str">
        <f t="shared" ref="A9:A72" si="0">B9&amp;"."&amp;D9&amp;"."&amp;E9&amp;"."&amp;F9</f>
        <v>Moray.2009.Economic Impact.Indirect Expenditure</v>
      </c>
      <c r="B9" s="537" t="s">
        <v>196</v>
      </c>
      <c r="C9" s="537" t="str">
        <f t="shared" ref="C9:C72" si="1">D9&amp;"."&amp;E9&amp;"."&amp;F9</f>
        <v>2009.Economic Impact.Indirect Expenditure</v>
      </c>
      <c r="D9" s="537" t="s">
        <v>197</v>
      </c>
      <c r="E9" s="669" t="s">
        <v>18</v>
      </c>
      <c r="F9" s="669" t="s">
        <v>46</v>
      </c>
      <c r="G9" s="669" t="s">
        <v>46</v>
      </c>
      <c r="H9" s="537">
        <v>1222.2063625911489</v>
      </c>
      <c r="I9" s="537">
        <v>1103.1889085811908</v>
      </c>
      <c r="J9" s="537">
        <v>1231.6934336023069</v>
      </c>
      <c r="K9" s="537">
        <v>1401.573641803418</v>
      </c>
      <c r="L9" s="537">
        <v>1858.960621548973</v>
      </c>
      <c r="M9" s="537">
        <v>1823.6721284108392</v>
      </c>
      <c r="N9" s="537">
        <v>2730.7669441502126</v>
      </c>
      <c r="O9" s="537">
        <v>2788.9181094423075</v>
      </c>
      <c r="P9" s="537">
        <v>1632.8364182029907</v>
      </c>
      <c r="Q9" s="537">
        <v>1527.1765272321795</v>
      </c>
      <c r="R9" s="537">
        <v>986.30751705470982</v>
      </c>
      <c r="S9" s="537">
        <v>837.01387486218471</v>
      </c>
      <c r="T9" s="537">
        <v>19144.314487482461</v>
      </c>
      <c r="U9" s="537" t="s">
        <v>58</v>
      </c>
    </row>
    <row r="10" spans="1:21" x14ac:dyDescent="0.2">
      <c r="A10" s="537" t="str">
        <f t="shared" si="0"/>
        <v>Moray.2009.Economic Impact.Direct Revenue</v>
      </c>
      <c r="B10" s="537" t="s">
        <v>196</v>
      </c>
      <c r="C10" s="537" t="str">
        <f t="shared" si="1"/>
        <v>2009.Economic Impact.Direct Revenue</v>
      </c>
      <c r="D10" s="537" t="s">
        <v>197</v>
      </c>
      <c r="E10" s="669" t="s">
        <v>18</v>
      </c>
      <c r="F10" s="669" t="s">
        <v>47</v>
      </c>
      <c r="G10" s="669" t="s">
        <v>47</v>
      </c>
      <c r="H10" s="537">
        <v>3540.686102034188</v>
      </c>
      <c r="I10" s="537">
        <v>3163.8223008081341</v>
      </c>
      <c r="J10" s="537">
        <v>3456.7936748243883</v>
      </c>
      <c r="K10" s="537">
        <v>3825.1440626701788</v>
      </c>
      <c r="L10" s="537">
        <v>5054.1967821051858</v>
      </c>
      <c r="M10" s="537">
        <v>4968.1309387410565</v>
      </c>
      <c r="N10" s="537">
        <v>7446.6220686795305</v>
      </c>
      <c r="O10" s="537">
        <v>7578.6174011200101</v>
      </c>
      <c r="P10" s="537">
        <v>4498.2250698495409</v>
      </c>
      <c r="Q10" s="537">
        <v>4197.9964217802453</v>
      </c>
      <c r="R10" s="537">
        <v>2930.4269240065146</v>
      </c>
      <c r="S10" s="537">
        <v>2380.8080993938424</v>
      </c>
      <c r="T10" s="537">
        <v>53041.469846012813</v>
      </c>
      <c r="U10" s="537" t="s">
        <v>58</v>
      </c>
    </row>
    <row r="11" spans="1:21" x14ac:dyDescent="0.2">
      <c r="A11" s="537" t="str">
        <f t="shared" si="0"/>
        <v>Moray.2009.Economic Impact.VAT</v>
      </c>
      <c r="B11" s="537" t="s">
        <v>196</v>
      </c>
      <c r="C11" s="537" t="str">
        <f t="shared" si="1"/>
        <v>2009.Economic Impact.VAT</v>
      </c>
      <c r="D11" s="537" t="s">
        <v>197</v>
      </c>
      <c r="E11" s="669" t="s">
        <v>18</v>
      </c>
      <c r="F11" s="669" t="s">
        <v>48</v>
      </c>
      <c r="G11" s="669" t="s">
        <v>48</v>
      </c>
      <c r="H11" s="537">
        <v>531.10291530512814</v>
      </c>
      <c r="I11" s="537">
        <v>474.57334512122003</v>
      </c>
      <c r="J11" s="537">
        <v>518.51905122365815</v>
      </c>
      <c r="K11" s="537">
        <v>573.77160940052681</v>
      </c>
      <c r="L11" s="537">
        <v>758.12951731577778</v>
      </c>
      <c r="M11" s="537">
        <v>745.21964081115846</v>
      </c>
      <c r="N11" s="537">
        <v>1116.9933103019296</v>
      </c>
      <c r="O11" s="537">
        <v>1136.7926101680018</v>
      </c>
      <c r="P11" s="537">
        <v>674.73376047743113</v>
      </c>
      <c r="Q11" s="537">
        <v>629.69946326703678</v>
      </c>
      <c r="R11" s="537">
        <v>439.5640386009772</v>
      </c>
      <c r="S11" s="537">
        <v>357.12121490907634</v>
      </c>
      <c r="T11" s="537">
        <v>7956.2204769019218</v>
      </c>
      <c r="U11" s="537" t="s">
        <v>58</v>
      </c>
    </row>
    <row r="12" spans="1:21" x14ac:dyDescent="0.2">
      <c r="A12" s="537" t="str">
        <f t="shared" si="0"/>
        <v>Moray.2009.Economic Impact.Serviced Accommodation</v>
      </c>
      <c r="B12" s="537" t="s">
        <v>196</v>
      </c>
      <c r="C12" s="537" t="str">
        <f t="shared" si="1"/>
        <v>2009.Economic Impact.Serviced Accommodation</v>
      </c>
      <c r="D12" s="537" t="s">
        <v>197</v>
      </c>
      <c r="E12" s="669" t="s">
        <v>18</v>
      </c>
      <c r="F12" s="669" t="s">
        <v>44</v>
      </c>
      <c r="G12" s="669" t="s">
        <v>44</v>
      </c>
      <c r="H12" s="537">
        <v>2873.4861467040928</v>
      </c>
      <c r="I12" s="537">
        <v>2586.7669521661787</v>
      </c>
      <c r="J12" s="537">
        <v>2440.3333252358116</v>
      </c>
      <c r="K12" s="537">
        <v>2378.2579067710853</v>
      </c>
      <c r="L12" s="537">
        <v>3050.4573031513773</v>
      </c>
      <c r="M12" s="537">
        <v>2911.0520070928719</v>
      </c>
      <c r="N12" s="537">
        <v>5143.5763538419824</v>
      </c>
      <c r="O12" s="537">
        <v>4915.2458824936093</v>
      </c>
      <c r="P12" s="537">
        <v>3509.9122018048074</v>
      </c>
      <c r="Q12" s="537">
        <v>3122.1782350649587</v>
      </c>
      <c r="R12" s="537">
        <v>2878.4082250942406</v>
      </c>
      <c r="S12" s="537">
        <v>1611.4886097323515</v>
      </c>
      <c r="T12" s="537">
        <v>37421.16314915337</v>
      </c>
      <c r="U12" s="537" t="s">
        <v>58</v>
      </c>
    </row>
    <row r="13" spans="1:21" x14ac:dyDescent="0.2">
      <c r="A13" s="537" t="str">
        <f t="shared" si="0"/>
        <v>Moray.2009.Economic Impact.Non-Serviced Accommodation</v>
      </c>
      <c r="B13" s="537" t="s">
        <v>196</v>
      </c>
      <c r="C13" s="537" t="str">
        <f t="shared" si="1"/>
        <v>2009.Economic Impact.Non-Serviced Accommodation</v>
      </c>
      <c r="D13" s="537" t="s">
        <v>197</v>
      </c>
      <c r="E13" s="669" t="s">
        <v>18</v>
      </c>
      <c r="F13" s="669" t="s">
        <v>49</v>
      </c>
      <c r="G13" s="669" t="s">
        <v>49</v>
      </c>
      <c r="H13" s="537">
        <v>336.79713558082045</v>
      </c>
      <c r="I13" s="537">
        <v>359.96493989403353</v>
      </c>
      <c r="J13" s="537">
        <v>407.36320026703402</v>
      </c>
      <c r="K13" s="537">
        <v>1772.5521670995754</v>
      </c>
      <c r="L13" s="537">
        <v>2619.5676067697896</v>
      </c>
      <c r="M13" s="537">
        <v>2547.0740600637391</v>
      </c>
      <c r="N13" s="537">
        <v>3886.3012621727139</v>
      </c>
      <c r="O13" s="537">
        <v>3951.681663786203</v>
      </c>
      <c r="P13" s="537">
        <v>2282.0960284448415</v>
      </c>
      <c r="Q13" s="537">
        <v>1992.5458890643567</v>
      </c>
      <c r="R13" s="537">
        <v>281.63434872604432</v>
      </c>
      <c r="S13" s="537">
        <v>331.14083193346562</v>
      </c>
      <c r="T13" s="537">
        <v>20768.719133802617</v>
      </c>
      <c r="U13" s="537" t="s">
        <v>58</v>
      </c>
    </row>
    <row r="14" spans="1:21" x14ac:dyDescent="0.2">
      <c r="A14" s="537" t="str">
        <f t="shared" si="0"/>
        <v>Moray.2009.Economic Impact.SFR</v>
      </c>
      <c r="B14" s="537" t="s">
        <v>196</v>
      </c>
      <c r="C14" s="537" t="str">
        <f t="shared" si="1"/>
        <v>2009.Economic Impact.SFR</v>
      </c>
      <c r="D14" s="537" t="s">
        <v>197</v>
      </c>
      <c r="E14" s="669" t="s">
        <v>18</v>
      </c>
      <c r="F14" s="669" t="s">
        <v>19</v>
      </c>
      <c r="G14" s="669" t="s">
        <v>19</v>
      </c>
      <c r="H14" s="537">
        <v>1091.1886315508309</v>
      </c>
      <c r="I14" s="537">
        <v>592.43957609615859</v>
      </c>
      <c r="J14" s="537">
        <v>657.44323355726419</v>
      </c>
      <c r="K14" s="537">
        <v>1170.4423162824783</v>
      </c>
      <c r="L14" s="537">
        <v>977.53796606496746</v>
      </c>
      <c r="M14" s="537">
        <v>1278.107194227548</v>
      </c>
      <c r="N14" s="537">
        <v>920.72877012162394</v>
      </c>
      <c r="O14" s="537">
        <v>1626.7406561413472</v>
      </c>
      <c r="P14" s="537">
        <v>647.3514827014103</v>
      </c>
      <c r="Q14" s="537">
        <v>609.3578436168259</v>
      </c>
      <c r="R14" s="537">
        <v>560.58910909947053</v>
      </c>
      <c r="S14" s="537">
        <v>1262.5931991241609</v>
      </c>
      <c r="T14" s="537">
        <v>11394.519978584085</v>
      </c>
      <c r="U14" s="537" t="s">
        <v>58</v>
      </c>
    </row>
    <row r="15" spans="1:21" x14ac:dyDescent="0.2">
      <c r="A15" s="537" t="str">
        <f t="shared" si="0"/>
        <v>Moray.2009.Economic Impact.Day Visitor</v>
      </c>
      <c r="B15" s="537" t="s">
        <v>196</v>
      </c>
      <c r="C15" s="537" t="str">
        <f t="shared" si="1"/>
        <v>2009.Economic Impact.Day Visitor</v>
      </c>
      <c r="D15" s="537" t="s">
        <v>197</v>
      </c>
      <c r="E15" s="669" t="s">
        <v>18</v>
      </c>
      <c r="F15" s="669" t="s">
        <v>73</v>
      </c>
      <c r="G15" s="669" t="s">
        <v>73</v>
      </c>
      <c r="H15" s="537">
        <v>992.52346609472033</v>
      </c>
      <c r="I15" s="537">
        <v>1202.4130863541741</v>
      </c>
      <c r="J15" s="537">
        <v>1701.8664005902435</v>
      </c>
      <c r="K15" s="537">
        <v>479.23692372098424</v>
      </c>
      <c r="L15" s="537">
        <v>1023.7240449838012</v>
      </c>
      <c r="M15" s="537">
        <v>800.78944657889383</v>
      </c>
      <c r="N15" s="537">
        <v>1343.775936995353</v>
      </c>
      <c r="O15" s="537">
        <v>1010.6599183091607</v>
      </c>
      <c r="P15" s="537">
        <v>366.43553557890419</v>
      </c>
      <c r="Q15" s="537">
        <v>630.79044453331971</v>
      </c>
      <c r="R15" s="537">
        <v>635.6667967424454</v>
      </c>
      <c r="S15" s="537">
        <v>369.72054837512491</v>
      </c>
      <c r="T15" s="537">
        <v>10557.602548857123</v>
      </c>
      <c r="U15" s="537" t="s">
        <v>58</v>
      </c>
    </row>
    <row r="16" spans="1:21" x14ac:dyDescent="0.2">
      <c r="A16" s="537" t="str">
        <f t="shared" si="0"/>
        <v>Moray.2009.Economic Impact.Accommodation</v>
      </c>
      <c r="B16" s="537" t="s">
        <v>196</v>
      </c>
      <c r="C16" s="537" t="str">
        <f t="shared" si="1"/>
        <v>2009.Economic Impact.Accommodation</v>
      </c>
      <c r="D16" s="537" t="s">
        <v>197</v>
      </c>
      <c r="E16" s="669" t="s">
        <v>18</v>
      </c>
      <c r="F16" s="669" t="s">
        <v>24</v>
      </c>
      <c r="G16" s="669" t="s">
        <v>24</v>
      </c>
      <c r="H16" s="537">
        <v>723.12095997722668</v>
      </c>
      <c r="I16" s="537">
        <v>686.22179262560815</v>
      </c>
      <c r="J16" s="537">
        <v>673.71608725390615</v>
      </c>
      <c r="K16" s="537">
        <v>1090.641908714784</v>
      </c>
      <c r="L16" s="537">
        <v>1422.0835173719825</v>
      </c>
      <c r="M16" s="537">
        <v>1385.6251653075756</v>
      </c>
      <c r="N16" s="537">
        <v>2749.4018420210587</v>
      </c>
      <c r="O16" s="537">
        <v>2717.1292754960255</v>
      </c>
      <c r="P16" s="537">
        <v>1487.663336285254</v>
      </c>
      <c r="Q16" s="537">
        <v>1274.8195514190966</v>
      </c>
      <c r="R16" s="537">
        <v>876.78781781983253</v>
      </c>
      <c r="S16" s="537">
        <v>536.21529766936931</v>
      </c>
      <c r="T16" s="537">
        <v>15623.426551961718</v>
      </c>
      <c r="U16" s="537" t="s">
        <v>58</v>
      </c>
    </row>
    <row r="17" spans="1:21" x14ac:dyDescent="0.2">
      <c r="A17" s="537" t="str">
        <f t="shared" si="0"/>
        <v>Moray.2009.Economic Impact.Food &amp; Drink</v>
      </c>
      <c r="B17" s="537" t="s">
        <v>196</v>
      </c>
      <c r="C17" s="537" t="str">
        <f t="shared" si="1"/>
        <v>2009.Economic Impact.Food &amp; Drink</v>
      </c>
      <c r="D17" s="537" t="s">
        <v>197</v>
      </c>
      <c r="E17" s="669" t="s">
        <v>18</v>
      </c>
      <c r="F17" s="669" t="s">
        <v>50</v>
      </c>
      <c r="G17" s="669" t="s">
        <v>50</v>
      </c>
      <c r="H17" s="537">
        <v>974.84926132169699</v>
      </c>
      <c r="I17" s="537">
        <v>875.12404825120097</v>
      </c>
      <c r="J17" s="537">
        <v>997.38311768176618</v>
      </c>
      <c r="K17" s="537">
        <v>833.6609028383192</v>
      </c>
      <c r="L17" s="537">
        <v>1061.2739139774228</v>
      </c>
      <c r="M17" s="537">
        <v>1037.2491903725293</v>
      </c>
      <c r="N17" s="537">
        <v>1309.9185889129474</v>
      </c>
      <c r="O17" s="537">
        <v>1385.2179172568001</v>
      </c>
      <c r="P17" s="537">
        <v>885.90186217260123</v>
      </c>
      <c r="Q17" s="537">
        <v>872.97329079937651</v>
      </c>
      <c r="R17" s="537">
        <v>700.84651156308473</v>
      </c>
      <c r="S17" s="537">
        <v>607.89860693787421</v>
      </c>
      <c r="T17" s="537">
        <v>11542.297212085618</v>
      </c>
      <c r="U17" s="537" t="s">
        <v>58</v>
      </c>
    </row>
    <row r="18" spans="1:21" x14ac:dyDescent="0.2">
      <c r="A18" s="537" t="str">
        <f t="shared" si="0"/>
        <v>Moray.2009.Economic Impact.Recreation</v>
      </c>
      <c r="B18" s="537" t="s">
        <v>196</v>
      </c>
      <c r="C18" s="537" t="str">
        <f t="shared" si="1"/>
        <v>2009.Economic Impact.Recreation</v>
      </c>
      <c r="D18" s="537" t="s">
        <v>197</v>
      </c>
      <c r="E18" s="669" t="s">
        <v>18</v>
      </c>
      <c r="F18" s="669" t="s">
        <v>51</v>
      </c>
      <c r="G18" s="669" t="s">
        <v>51</v>
      </c>
      <c r="H18" s="537">
        <v>402.20108873821329</v>
      </c>
      <c r="I18" s="537">
        <v>400.82053633256601</v>
      </c>
      <c r="J18" s="537">
        <v>492.59521422263458</v>
      </c>
      <c r="K18" s="537">
        <v>323.28734080482963</v>
      </c>
      <c r="L18" s="537">
        <v>413.19182144615928</v>
      </c>
      <c r="M18" s="537">
        <v>419.20792956167713</v>
      </c>
      <c r="N18" s="537">
        <v>623.30472485790233</v>
      </c>
      <c r="O18" s="537">
        <v>643.93594442249696</v>
      </c>
      <c r="P18" s="537">
        <v>379.9770161110302</v>
      </c>
      <c r="Q18" s="537">
        <v>416.26097382016076</v>
      </c>
      <c r="R18" s="537">
        <v>318.14858285833623</v>
      </c>
      <c r="S18" s="537">
        <v>236.51942093108042</v>
      </c>
      <c r="T18" s="537">
        <v>5069.4505941070865</v>
      </c>
      <c r="U18" s="537" t="s">
        <v>58</v>
      </c>
    </row>
    <row r="19" spans="1:21" x14ac:dyDescent="0.2">
      <c r="A19" s="537" t="str">
        <f t="shared" si="0"/>
        <v>Moray.2009.Economic Impact.Shopping</v>
      </c>
      <c r="B19" s="537" t="s">
        <v>196</v>
      </c>
      <c r="C19" s="537" t="str">
        <f t="shared" si="1"/>
        <v>2009.Economic Impact.Shopping</v>
      </c>
      <c r="D19" s="537" t="s">
        <v>197</v>
      </c>
      <c r="E19" s="669" t="s">
        <v>18</v>
      </c>
      <c r="F19" s="669" t="s">
        <v>52</v>
      </c>
      <c r="G19" s="669" t="s">
        <v>52</v>
      </c>
      <c r="H19" s="537">
        <v>516.38548071005403</v>
      </c>
      <c r="I19" s="537">
        <v>437.56352484667502</v>
      </c>
      <c r="J19" s="537">
        <v>495.92511787002536</v>
      </c>
      <c r="K19" s="537">
        <v>471.70716705055543</v>
      </c>
      <c r="L19" s="537">
        <v>630.24234006002757</v>
      </c>
      <c r="M19" s="537">
        <v>610.83738070799848</v>
      </c>
      <c r="N19" s="537">
        <v>924.23637797925323</v>
      </c>
      <c r="O19" s="537">
        <v>930.31811313476112</v>
      </c>
      <c r="P19" s="537">
        <v>545.64545764026252</v>
      </c>
      <c r="Q19" s="537">
        <v>518.35075764337012</v>
      </c>
      <c r="R19" s="537">
        <v>375.29899969307303</v>
      </c>
      <c r="S19" s="537">
        <v>390.00555414470608</v>
      </c>
      <c r="T19" s="537">
        <v>6846.516271480762</v>
      </c>
      <c r="U19" s="537" t="s">
        <v>58</v>
      </c>
    </row>
    <row r="20" spans="1:21" x14ac:dyDescent="0.2">
      <c r="A20" s="537" t="str">
        <f t="shared" si="0"/>
        <v>Moray.2009.Economic Impact.Transport</v>
      </c>
      <c r="B20" s="537" t="s">
        <v>196</v>
      </c>
      <c r="C20" s="537" t="str">
        <f t="shared" si="1"/>
        <v>2009.Economic Impact.Transport</v>
      </c>
      <c r="D20" s="537" t="s">
        <v>197</v>
      </c>
      <c r="E20" s="669" t="s">
        <v>18</v>
      </c>
      <c r="F20" s="669" t="s">
        <v>53</v>
      </c>
      <c r="G20" s="669" t="s">
        <v>53</v>
      </c>
      <c r="H20" s="537">
        <v>924.12931128699654</v>
      </c>
      <c r="I20" s="537">
        <v>764.09239875208391</v>
      </c>
      <c r="J20" s="537">
        <v>797.17413779605602</v>
      </c>
      <c r="K20" s="537">
        <v>1105.8467432616906</v>
      </c>
      <c r="L20" s="537">
        <v>1527.4051892495931</v>
      </c>
      <c r="M20" s="537">
        <v>1515.2112727912761</v>
      </c>
      <c r="N20" s="537">
        <v>1839.760534908369</v>
      </c>
      <c r="O20" s="537">
        <v>1902.0161508099272</v>
      </c>
      <c r="P20" s="537">
        <v>1199.0373976403932</v>
      </c>
      <c r="Q20" s="537">
        <v>1115.5918480982411</v>
      </c>
      <c r="R20" s="537">
        <v>659.34501207218784</v>
      </c>
      <c r="S20" s="537">
        <v>610.1692197108124</v>
      </c>
      <c r="T20" s="537">
        <v>13959.779216377628</v>
      </c>
      <c r="U20" s="537" t="s">
        <v>58</v>
      </c>
    </row>
    <row r="21" spans="1:21" x14ac:dyDescent="0.2">
      <c r="A21" s="537" t="str">
        <f t="shared" si="0"/>
        <v>Moray.2009.Economic Impact.Direct Expenditure</v>
      </c>
      <c r="B21" s="537" t="s">
        <v>196</v>
      </c>
      <c r="C21" s="537" t="str">
        <f t="shared" si="1"/>
        <v>2009.Economic Impact.Direct Expenditure</v>
      </c>
      <c r="D21" s="537" t="s">
        <v>197</v>
      </c>
      <c r="E21" s="669" t="s">
        <v>18</v>
      </c>
      <c r="F21" s="669" t="s">
        <v>45</v>
      </c>
      <c r="G21" s="669" t="s">
        <v>45</v>
      </c>
      <c r="H21" s="537">
        <v>4071.7890173393153</v>
      </c>
      <c r="I21" s="537">
        <v>3638.395645929354</v>
      </c>
      <c r="J21" s="537">
        <v>3975.3127260480464</v>
      </c>
      <c r="K21" s="537">
        <v>4398.9156720707051</v>
      </c>
      <c r="L21" s="537">
        <v>5812.3262994209617</v>
      </c>
      <c r="M21" s="537">
        <v>5713.3505795522133</v>
      </c>
      <c r="N21" s="537">
        <v>8563.6153789814616</v>
      </c>
      <c r="O21" s="537">
        <v>8715.4100112880133</v>
      </c>
      <c r="P21" s="537">
        <v>5172.958830326972</v>
      </c>
      <c r="Q21" s="537">
        <v>4827.6958850472811</v>
      </c>
      <c r="R21" s="537">
        <v>3369.9909626074909</v>
      </c>
      <c r="S21" s="537">
        <v>2737.9293143029186</v>
      </c>
      <c r="T21" s="537">
        <v>60997.690322914728</v>
      </c>
      <c r="U21" s="537" t="s">
        <v>58</v>
      </c>
    </row>
    <row r="22" spans="1:21" x14ac:dyDescent="0.2">
      <c r="A22" s="537" t="str">
        <f t="shared" si="0"/>
        <v>Moray.2009.Population.Total</v>
      </c>
      <c r="B22" s="537" t="s">
        <v>196</v>
      </c>
      <c r="C22" s="537" t="str">
        <f t="shared" si="1"/>
        <v>2009.Population.Total</v>
      </c>
      <c r="D22" s="537" t="s">
        <v>197</v>
      </c>
      <c r="E22" s="669" t="s">
        <v>20</v>
      </c>
      <c r="F22" s="669" t="s">
        <v>55</v>
      </c>
      <c r="G22" s="669" t="s">
        <v>55</v>
      </c>
      <c r="H22" s="537">
        <v>87770</v>
      </c>
      <c r="I22" s="537">
        <v>87770</v>
      </c>
      <c r="J22" s="537">
        <v>87770</v>
      </c>
      <c r="K22" s="537">
        <v>87770</v>
      </c>
      <c r="L22" s="537">
        <v>87770</v>
      </c>
      <c r="M22" s="537">
        <v>87770</v>
      </c>
      <c r="N22" s="537">
        <v>87770</v>
      </c>
      <c r="O22" s="537">
        <v>87770</v>
      </c>
      <c r="P22" s="537">
        <v>87770</v>
      </c>
      <c r="Q22" s="537">
        <v>87770</v>
      </c>
      <c r="R22" s="537">
        <v>87770</v>
      </c>
      <c r="S22" s="537">
        <v>87770</v>
      </c>
      <c r="T22" s="537">
        <v>87770</v>
      </c>
      <c r="U22" s="537" t="s">
        <v>61</v>
      </c>
    </row>
    <row r="23" spans="1:21" x14ac:dyDescent="0.2">
      <c r="A23" s="537" t="str">
        <f t="shared" si="0"/>
        <v>Moray.2009.Employment.Serviced Accommodation</v>
      </c>
      <c r="B23" s="537" t="s">
        <v>196</v>
      </c>
      <c r="C23" s="537" t="str">
        <f t="shared" si="1"/>
        <v>2009.Employment.Serviced Accommodation</v>
      </c>
      <c r="D23" s="537" t="s">
        <v>197</v>
      </c>
      <c r="E23" s="669" t="s">
        <v>21</v>
      </c>
      <c r="F23" s="669" t="s">
        <v>44</v>
      </c>
      <c r="G23" s="669" t="s">
        <v>44</v>
      </c>
      <c r="H23" s="537">
        <v>1357.2385778956661</v>
      </c>
      <c r="I23" s="537">
        <v>1313.1396963418351</v>
      </c>
      <c r="J23" s="537">
        <v>1294.5286645659821</v>
      </c>
      <c r="K23" s="537">
        <v>1240.2460803300535</v>
      </c>
      <c r="L23" s="537">
        <v>1315.3848345387471</v>
      </c>
      <c r="M23" s="537">
        <v>1293.4919410502537</v>
      </c>
      <c r="N23" s="537">
        <v>1483.1186963767359</v>
      </c>
      <c r="O23" s="537">
        <v>1456.2322901578707</v>
      </c>
      <c r="P23" s="537">
        <v>1396.3821473032317</v>
      </c>
      <c r="Q23" s="537">
        <v>1340.4922121314505</v>
      </c>
      <c r="R23" s="537">
        <v>1307.7280327026574</v>
      </c>
      <c r="S23" s="537">
        <v>1144.143420066368</v>
      </c>
      <c r="T23" s="537">
        <v>1328.5105494550708</v>
      </c>
      <c r="U23" s="537" t="s">
        <v>60</v>
      </c>
    </row>
    <row r="24" spans="1:21" x14ac:dyDescent="0.2">
      <c r="A24" s="537" t="str">
        <f t="shared" si="0"/>
        <v>Moray.2009.Employment.Non-Serviced Accommodation</v>
      </c>
      <c r="B24" s="537" t="s">
        <v>196</v>
      </c>
      <c r="C24" s="537" t="str">
        <f t="shared" si="1"/>
        <v>2009.Employment.Non-Serviced Accommodation</v>
      </c>
      <c r="D24" s="537" t="s">
        <v>197</v>
      </c>
      <c r="E24" s="669" t="s">
        <v>21</v>
      </c>
      <c r="F24" s="669" t="s">
        <v>49</v>
      </c>
      <c r="G24" s="669" t="s">
        <v>49</v>
      </c>
      <c r="H24" s="537">
        <v>376.72451375821612</v>
      </c>
      <c r="I24" s="537">
        <v>374.70043291974611</v>
      </c>
      <c r="J24" s="537">
        <v>391.33903095890895</v>
      </c>
      <c r="K24" s="537">
        <v>600.64356361615251</v>
      </c>
      <c r="L24" s="537">
        <v>725.37901481931601</v>
      </c>
      <c r="M24" s="537">
        <v>719.98779367075826</v>
      </c>
      <c r="N24" s="537">
        <v>829.00361529368377</v>
      </c>
      <c r="O24" s="537">
        <v>903.25352026396661</v>
      </c>
      <c r="P24" s="537">
        <v>659.6114191593681</v>
      </c>
      <c r="Q24" s="537">
        <v>636.80808253790792</v>
      </c>
      <c r="R24" s="537">
        <v>377.23752129472098</v>
      </c>
      <c r="S24" s="537">
        <v>380.3561462371116</v>
      </c>
      <c r="T24" s="537">
        <v>581.25372121082148</v>
      </c>
      <c r="U24" s="537" t="s">
        <v>60</v>
      </c>
    </row>
    <row r="25" spans="1:21" x14ac:dyDescent="0.2">
      <c r="A25" s="537" t="str">
        <f t="shared" si="0"/>
        <v>Moray.2009.Employment.SFR</v>
      </c>
      <c r="B25" s="537" t="s">
        <v>196</v>
      </c>
      <c r="C25" s="537" t="str">
        <f t="shared" si="1"/>
        <v>2009.Employment.SFR</v>
      </c>
      <c r="D25" s="537" t="s">
        <v>197</v>
      </c>
      <c r="E25" s="669" t="s">
        <v>21</v>
      </c>
      <c r="F25" s="669" t="s">
        <v>19</v>
      </c>
      <c r="G25" s="669" t="s">
        <v>19</v>
      </c>
      <c r="H25" s="537">
        <v>210.08802763138874</v>
      </c>
      <c r="I25" s="537">
        <v>114.06319533949438</v>
      </c>
      <c r="J25" s="537">
        <v>126.57843769994773</v>
      </c>
      <c r="K25" s="537">
        <v>226.12921192143239</v>
      </c>
      <c r="L25" s="537">
        <v>188.86013160532565</v>
      </c>
      <c r="M25" s="537">
        <v>246.93004393395177</v>
      </c>
      <c r="N25" s="537">
        <v>177.84266829065558</v>
      </c>
      <c r="O25" s="537">
        <v>314.21185944570118</v>
      </c>
      <c r="P25" s="537">
        <v>125.03868537780488</v>
      </c>
      <c r="Q25" s="537">
        <v>117.1951393325095</v>
      </c>
      <c r="R25" s="537">
        <v>107.81566108881006</v>
      </c>
      <c r="S25" s="537">
        <v>242.82904937001319</v>
      </c>
      <c r="T25" s="537">
        <v>183.13184258641959</v>
      </c>
      <c r="U25" s="537" t="s">
        <v>60</v>
      </c>
    </row>
    <row r="26" spans="1:21" x14ac:dyDescent="0.2">
      <c r="A26" s="537" t="str">
        <f t="shared" si="0"/>
        <v>Moray.2009.Employment.Day Visitor</v>
      </c>
      <c r="B26" s="537" t="s">
        <v>196</v>
      </c>
      <c r="C26" s="537" t="str">
        <f t="shared" si="1"/>
        <v>2009.Employment.Day Visitor</v>
      </c>
      <c r="D26" s="537" t="s">
        <v>197</v>
      </c>
      <c r="E26" s="669" t="s">
        <v>21</v>
      </c>
      <c r="F26" s="669" t="s">
        <v>73</v>
      </c>
      <c r="G26" s="669" t="s">
        <v>73</v>
      </c>
      <c r="H26" s="537">
        <v>192.86524028269173</v>
      </c>
      <c r="I26" s="537">
        <v>233.65058534204906</v>
      </c>
      <c r="J26" s="537">
        <v>330.70338736711818</v>
      </c>
      <c r="K26" s="537">
        <v>92.051254332972491</v>
      </c>
      <c r="L26" s="537">
        <v>196.63568846053215</v>
      </c>
      <c r="M26" s="537">
        <v>153.81467780456495</v>
      </c>
      <c r="N26" s="537">
        <v>256.53240665312353</v>
      </c>
      <c r="O26" s="537">
        <v>192.93917535940727</v>
      </c>
      <c r="P26" s="537">
        <v>69.954065434055806</v>
      </c>
      <c r="Q26" s="537">
        <v>122.57397916406987</v>
      </c>
      <c r="R26" s="537">
        <v>123.52154249394918</v>
      </c>
      <c r="S26" s="537">
        <v>71.843381880315164</v>
      </c>
      <c r="T26" s="537">
        <v>169.75711538123744</v>
      </c>
      <c r="U26" s="537" t="s">
        <v>60</v>
      </c>
    </row>
    <row r="27" spans="1:21" x14ac:dyDescent="0.2">
      <c r="A27" s="537" t="str">
        <f t="shared" si="0"/>
        <v>Moray.2009.Employment.Direct Employment</v>
      </c>
      <c r="B27" s="537" t="s">
        <v>196</v>
      </c>
      <c r="C27" s="537" t="str">
        <f t="shared" si="1"/>
        <v>2009.Employment.Direct Employment</v>
      </c>
      <c r="D27" s="537" t="s">
        <v>197</v>
      </c>
      <c r="E27" s="669" t="s">
        <v>21</v>
      </c>
      <c r="F27" s="669" t="s">
        <v>56</v>
      </c>
      <c r="G27" s="669" t="s">
        <v>56</v>
      </c>
      <c r="H27" s="537">
        <v>2136.9163595679629</v>
      </c>
      <c r="I27" s="537">
        <v>2035.5539099431246</v>
      </c>
      <c r="J27" s="537">
        <v>2143.1495205919568</v>
      </c>
      <c r="K27" s="537">
        <v>2159.0701102006105</v>
      </c>
      <c r="L27" s="537">
        <v>2426.2596694239205</v>
      </c>
      <c r="M27" s="537">
        <v>2414.2244564595285</v>
      </c>
      <c r="N27" s="537">
        <v>2746.4973866141986</v>
      </c>
      <c r="O27" s="537">
        <v>2866.6368452269458</v>
      </c>
      <c r="P27" s="537">
        <v>2250.9863172744608</v>
      </c>
      <c r="Q27" s="537">
        <v>2217.0694131659379</v>
      </c>
      <c r="R27" s="537">
        <v>1916.3027575801375</v>
      </c>
      <c r="S27" s="537">
        <v>1839.1719975538081</v>
      </c>
      <c r="T27" s="537">
        <v>2262.6532286335491</v>
      </c>
      <c r="U27" s="537" t="s">
        <v>60</v>
      </c>
    </row>
    <row r="28" spans="1:21" x14ac:dyDescent="0.2">
      <c r="A28" s="537" t="str">
        <f t="shared" si="0"/>
        <v>Moray.2009.Employment.Indirect Employment</v>
      </c>
      <c r="B28" s="537" t="s">
        <v>196</v>
      </c>
      <c r="C28" s="537" t="str">
        <f t="shared" si="1"/>
        <v>2009.Employment.Indirect Employment</v>
      </c>
      <c r="D28" s="537" t="s">
        <v>197</v>
      </c>
      <c r="E28" s="669" t="s">
        <v>21</v>
      </c>
      <c r="F28" s="669" t="s">
        <v>54</v>
      </c>
      <c r="G28" s="669" t="s">
        <v>54</v>
      </c>
      <c r="H28" s="537">
        <v>313.07982870840692</v>
      </c>
      <c r="I28" s="537">
        <v>282.5923715528487</v>
      </c>
      <c r="J28" s="537">
        <v>315.51003252506905</v>
      </c>
      <c r="K28" s="537">
        <v>359.02646977531776</v>
      </c>
      <c r="L28" s="537">
        <v>476.19051150768485</v>
      </c>
      <c r="M28" s="537">
        <v>467.15102707590529</v>
      </c>
      <c r="N28" s="537">
        <v>699.51202455253849</v>
      </c>
      <c r="O28" s="537">
        <v>714.40800073633568</v>
      </c>
      <c r="P28" s="537">
        <v>418.26663791542529</v>
      </c>
      <c r="Q28" s="537">
        <v>391.20084806275338</v>
      </c>
      <c r="R28" s="537">
        <v>252.65208719634177</v>
      </c>
      <c r="S28" s="537">
        <v>214.40909537800704</v>
      </c>
      <c r="T28" s="537">
        <v>408.66657791555286</v>
      </c>
      <c r="U28" s="537" t="s">
        <v>60</v>
      </c>
    </row>
    <row r="29" spans="1:21" x14ac:dyDescent="0.2">
      <c r="A29" s="537" t="str">
        <f t="shared" si="0"/>
        <v>Moray.2009.Employment.Total</v>
      </c>
      <c r="B29" s="537" t="s">
        <v>196</v>
      </c>
      <c r="C29" s="537" t="str">
        <f t="shared" si="1"/>
        <v>2009.Employment.Total</v>
      </c>
      <c r="D29" s="537" t="s">
        <v>197</v>
      </c>
      <c r="E29" s="669" t="s">
        <v>21</v>
      </c>
      <c r="F29" s="669" t="s">
        <v>55</v>
      </c>
      <c r="G29" s="669" t="s">
        <v>55</v>
      </c>
      <c r="H29" s="537">
        <v>2449.99618827637</v>
      </c>
      <c r="I29" s="537">
        <v>2318.1462814959732</v>
      </c>
      <c r="J29" s="537">
        <v>2458.659553117026</v>
      </c>
      <c r="K29" s="537">
        <v>2518.0965799759283</v>
      </c>
      <c r="L29" s="537">
        <v>2902.4501809316052</v>
      </c>
      <c r="M29" s="537">
        <v>2881.3754835354339</v>
      </c>
      <c r="N29" s="537">
        <v>3446.0094111667372</v>
      </c>
      <c r="O29" s="537">
        <v>3581.0448459632817</v>
      </c>
      <c r="P29" s="537">
        <v>2669.2529551898861</v>
      </c>
      <c r="Q29" s="537">
        <v>2608.2702612286912</v>
      </c>
      <c r="R29" s="537">
        <v>2168.9548447764791</v>
      </c>
      <c r="S29" s="537">
        <v>2053.581092931815</v>
      </c>
      <c r="T29" s="537">
        <v>2671.3198065491024</v>
      </c>
      <c r="U29" s="537" t="s">
        <v>60</v>
      </c>
    </row>
    <row r="30" spans="1:21" x14ac:dyDescent="0.2">
      <c r="A30" s="537" t="str">
        <f t="shared" si="0"/>
        <v>Moray.2009.Employment.Accommodation</v>
      </c>
      <c r="B30" s="537" t="s">
        <v>196</v>
      </c>
      <c r="C30" s="537" t="str">
        <f t="shared" si="1"/>
        <v>2009.Employment.Accommodation</v>
      </c>
      <c r="D30" s="537" t="s">
        <v>197</v>
      </c>
      <c r="E30" s="669" t="s">
        <v>21</v>
      </c>
      <c r="F30" s="669" t="s">
        <v>24</v>
      </c>
      <c r="G30" s="669" t="s">
        <v>24</v>
      </c>
      <c r="H30" s="537">
        <v>1310.6250186297198</v>
      </c>
      <c r="I30" s="537">
        <v>1306.7410857595087</v>
      </c>
      <c r="J30" s="537">
        <v>1321.9358288642616</v>
      </c>
      <c r="K30" s="537">
        <v>1365.8211806766283</v>
      </c>
      <c r="L30" s="537">
        <v>1375.2003198294242</v>
      </c>
      <c r="M30" s="537">
        <v>1377.8</v>
      </c>
      <c r="N30" s="537">
        <v>1382.7193548387097</v>
      </c>
      <c r="O30" s="537">
        <v>1454.7689826302731</v>
      </c>
      <c r="P30" s="537">
        <v>1377.2003198294242</v>
      </c>
      <c r="Q30" s="537">
        <v>1366.4789700706719</v>
      </c>
      <c r="R30" s="537">
        <v>1313.4592623878875</v>
      </c>
      <c r="S30" s="537">
        <v>1298.9893994941924</v>
      </c>
      <c r="T30" s="537">
        <v>1354.3116435842251</v>
      </c>
      <c r="U30" s="537" t="s">
        <v>60</v>
      </c>
    </row>
    <row r="31" spans="1:21" x14ac:dyDescent="0.2">
      <c r="A31" s="537" t="str">
        <f t="shared" si="0"/>
        <v>Moray.2009.Employment.Food &amp; Drink</v>
      </c>
      <c r="B31" s="537" t="s">
        <v>196</v>
      </c>
      <c r="C31" s="537" t="str">
        <f t="shared" si="1"/>
        <v>2009.Employment.Food &amp; Drink</v>
      </c>
      <c r="D31" s="537" t="s">
        <v>197</v>
      </c>
      <c r="E31" s="669" t="s">
        <v>21</v>
      </c>
      <c r="F31" s="669" t="s">
        <v>50</v>
      </c>
      <c r="G31" s="669" t="s">
        <v>50</v>
      </c>
      <c r="H31" s="537">
        <v>302.2587307731464</v>
      </c>
      <c r="I31" s="537">
        <v>271.33824129367326</v>
      </c>
      <c r="J31" s="537">
        <v>309.24550820946973</v>
      </c>
      <c r="K31" s="537">
        <v>258.48230735228788</v>
      </c>
      <c r="L31" s="537">
        <v>329.05528984712345</v>
      </c>
      <c r="M31" s="537">
        <v>321.60625874856629</v>
      </c>
      <c r="N31" s="537">
        <v>406.14928462290891</v>
      </c>
      <c r="O31" s="537">
        <v>429.49636023378395</v>
      </c>
      <c r="P31" s="537">
        <v>274.67997676565261</v>
      </c>
      <c r="Q31" s="537">
        <v>270.67138412571688</v>
      </c>
      <c r="R31" s="537">
        <v>217.30229016600728</v>
      </c>
      <c r="S31" s="537">
        <v>188.48315186974452</v>
      </c>
      <c r="T31" s="537">
        <v>298.23073200067347</v>
      </c>
      <c r="U31" s="537" t="s">
        <v>60</v>
      </c>
    </row>
    <row r="32" spans="1:21" x14ac:dyDescent="0.2">
      <c r="A32" s="537" t="str">
        <f t="shared" si="0"/>
        <v>Moray.2009.Employment.Recreation</v>
      </c>
      <c r="B32" s="537" t="s">
        <v>196</v>
      </c>
      <c r="C32" s="537" t="str">
        <f t="shared" si="1"/>
        <v>2009.Employment.Recreation</v>
      </c>
      <c r="D32" s="537" t="s">
        <v>197</v>
      </c>
      <c r="E32" s="669" t="s">
        <v>21</v>
      </c>
      <c r="F32" s="669" t="s">
        <v>51</v>
      </c>
      <c r="G32" s="669" t="s">
        <v>51</v>
      </c>
      <c r="H32" s="537">
        <v>123.87235838926212</v>
      </c>
      <c r="I32" s="537">
        <v>123.44716739113728</v>
      </c>
      <c r="J32" s="537">
        <v>151.71249562861789</v>
      </c>
      <c r="K32" s="537">
        <v>99.568018248088251</v>
      </c>
      <c r="L32" s="537">
        <v>127.25735166521373</v>
      </c>
      <c r="M32" s="537">
        <v>129.11022954511185</v>
      </c>
      <c r="N32" s="537">
        <v>191.9692124791176</v>
      </c>
      <c r="O32" s="537">
        <v>198.32334203140343</v>
      </c>
      <c r="P32" s="537">
        <v>117.02765218028598</v>
      </c>
      <c r="Q32" s="537">
        <v>128.20260803937293</v>
      </c>
      <c r="R32" s="537">
        <v>97.985352054864634</v>
      </c>
      <c r="S32" s="537">
        <v>72.84470205565583</v>
      </c>
      <c r="T32" s="537">
        <v>130.110040809011</v>
      </c>
      <c r="U32" s="537" t="s">
        <v>60</v>
      </c>
    </row>
    <row r="33" spans="1:21" x14ac:dyDescent="0.2">
      <c r="A33" s="537" t="str">
        <f t="shared" si="0"/>
        <v>Moray.2009.Employment.Shopping</v>
      </c>
      <c r="B33" s="537" t="s">
        <v>196</v>
      </c>
      <c r="C33" s="537" t="str">
        <f t="shared" si="1"/>
        <v>2009.Employment.Shopping</v>
      </c>
      <c r="D33" s="537" t="s">
        <v>197</v>
      </c>
      <c r="E33" s="669" t="s">
        <v>21</v>
      </c>
      <c r="F33" s="669" t="s">
        <v>52</v>
      </c>
      <c r="G33" s="669" t="s">
        <v>52</v>
      </c>
      <c r="H33" s="537">
        <v>154.14633000845168</v>
      </c>
      <c r="I33" s="537">
        <v>130.61717267482359</v>
      </c>
      <c r="J33" s="537">
        <v>148.03870312844148</v>
      </c>
      <c r="K33" s="537">
        <v>140.80939793184055</v>
      </c>
      <c r="L33" s="537">
        <v>188.13376317747492</v>
      </c>
      <c r="M33" s="537">
        <v>182.34118499738079</v>
      </c>
      <c r="N33" s="537">
        <v>275.89398046185659</v>
      </c>
      <c r="O33" s="537">
        <v>277.70944040278255</v>
      </c>
      <c r="P33" s="537">
        <v>162.88073139735539</v>
      </c>
      <c r="Q33" s="537">
        <v>154.73298520701456</v>
      </c>
      <c r="R33" s="537">
        <v>112.03057719396463</v>
      </c>
      <c r="S33" s="537">
        <v>116.42063361590647</v>
      </c>
      <c r="T33" s="537">
        <v>170.3129083497744</v>
      </c>
      <c r="U33" s="537" t="s">
        <v>60</v>
      </c>
    </row>
    <row r="34" spans="1:21" x14ac:dyDescent="0.2">
      <c r="A34" s="537" t="str">
        <f t="shared" si="0"/>
        <v>Moray.2009.Employment.Transport</v>
      </c>
      <c r="B34" s="537" t="s">
        <v>196</v>
      </c>
      <c r="C34" s="537" t="str">
        <f t="shared" si="1"/>
        <v>2009.Employment.Transport</v>
      </c>
      <c r="D34" s="537" t="s">
        <v>197</v>
      </c>
      <c r="E34" s="669" t="s">
        <v>21</v>
      </c>
      <c r="F34" s="669" t="s">
        <v>53</v>
      </c>
      <c r="G34" s="669" t="s">
        <v>53</v>
      </c>
      <c r="H34" s="537">
        <v>246.01392176738267</v>
      </c>
      <c r="I34" s="537">
        <v>203.41024282398169</v>
      </c>
      <c r="J34" s="537">
        <v>212.21698476116632</v>
      </c>
      <c r="K34" s="537">
        <v>294.389205991766</v>
      </c>
      <c r="L34" s="537">
        <v>406.6129449046847</v>
      </c>
      <c r="M34" s="537">
        <v>403.36678316846985</v>
      </c>
      <c r="N34" s="537">
        <v>489.76555421160595</v>
      </c>
      <c r="O34" s="537">
        <v>506.33871992870303</v>
      </c>
      <c r="P34" s="537">
        <v>319.19763710174237</v>
      </c>
      <c r="Q34" s="537">
        <v>296.98346572316149</v>
      </c>
      <c r="R34" s="537">
        <v>175.52527577741344</v>
      </c>
      <c r="S34" s="537">
        <v>162.43411051830896</v>
      </c>
      <c r="T34" s="537">
        <v>309.68790388986548</v>
      </c>
      <c r="U34" s="537" t="s">
        <v>60</v>
      </c>
    </row>
    <row r="35" spans="1:21" x14ac:dyDescent="0.2">
      <c r="A35" s="537" t="str">
        <f t="shared" si="0"/>
        <v>Moray.2009.Visitor Days.Serviced Accommodation</v>
      </c>
      <c r="B35" s="537" t="s">
        <v>196</v>
      </c>
      <c r="C35" s="537" t="str">
        <f t="shared" si="1"/>
        <v>2009.Visitor Days.Serviced Accommodation</v>
      </c>
      <c r="D35" s="537" t="s">
        <v>197</v>
      </c>
      <c r="E35" s="669" t="s">
        <v>175</v>
      </c>
      <c r="F35" s="669" t="s">
        <v>44</v>
      </c>
      <c r="G35" s="669" t="s">
        <v>44</v>
      </c>
      <c r="H35" s="537">
        <v>24.323003588241605</v>
      </c>
      <c r="I35" s="537">
        <v>22.717830802741112</v>
      </c>
      <c r="J35" s="537">
        <v>21.719149235967748</v>
      </c>
      <c r="K35" s="537">
        <v>28.120435029639221</v>
      </c>
      <c r="L35" s="537">
        <v>37.821955691422275</v>
      </c>
      <c r="M35" s="537">
        <v>37.715401481281816</v>
      </c>
      <c r="N35" s="537">
        <v>47.991808252517515</v>
      </c>
      <c r="O35" s="537">
        <v>46.962564289771549</v>
      </c>
      <c r="P35" s="537">
        <v>38.478167788962544</v>
      </c>
      <c r="Q35" s="537">
        <v>34.960423456518036</v>
      </c>
      <c r="R35" s="537">
        <v>31.360378668954318</v>
      </c>
      <c r="S35" s="537">
        <v>17.435205905781515</v>
      </c>
      <c r="T35" s="537">
        <v>389.60632419179922</v>
      </c>
      <c r="U35" s="537" t="s">
        <v>62</v>
      </c>
    </row>
    <row r="36" spans="1:21" x14ac:dyDescent="0.2">
      <c r="A36" s="537" t="str">
        <f t="shared" si="0"/>
        <v>Moray.2009.Visitor Days.Non-Serviced Accommodation</v>
      </c>
      <c r="B36" s="537" t="s">
        <v>196</v>
      </c>
      <c r="C36" s="537" t="str">
        <f t="shared" si="1"/>
        <v>2009.Visitor Days.Non-Serviced Accommodation</v>
      </c>
      <c r="D36" s="537" t="s">
        <v>197</v>
      </c>
      <c r="E36" s="669" t="s">
        <v>175</v>
      </c>
      <c r="F36" s="669" t="s">
        <v>49</v>
      </c>
      <c r="G36" s="669" t="s">
        <v>49</v>
      </c>
      <c r="H36" s="537">
        <v>9.6596551724137942</v>
      </c>
      <c r="I36" s="537">
        <v>10.324129353233831</v>
      </c>
      <c r="J36" s="537">
        <v>11.683555555555555</v>
      </c>
      <c r="K36" s="537">
        <v>47.218894957983196</v>
      </c>
      <c r="L36" s="537">
        <v>68.08330476190477</v>
      </c>
      <c r="M36" s="537">
        <v>66.079714285714289</v>
      </c>
      <c r="N36" s="537">
        <v>98.732276190476199</v>
      </c>
      <c r="O36" s="537">
        <v>100.21579560439561</v>
      </c>
      <c r="P36" s="537">
        <v>64.256514285714303</v>
      </c>
      <c r="Q36" s="537">
        <v>48.748533199643489</v>
      </c>
      <c r="R36" s="537">
        <v>6.9991666666666665</v>
      </c>
      <c r="S36" s="537">
        <v>8.2294999999999998</v>
      </c>
      <c r="T36" s="537">
        <v>540.23104003370167</v>
      </c>
      <c r="U36" s="537" t="s">
        <v>62</v>
      </c>
    </row>
    <row r="37" spans="1:21" x14ac:dyDescent="0.2">
      <c r="A37" s="537" t="str">
        <f t="shared" si="0"/>
        <v>Moray.2009.Visitor Days.SFR</v>
      </c>
      <c r="B37" s="537" t="s">
        <v>196</v>
      </c>
      <c r="C37" s="537" t="str">
        <f t="shared" si="1"/>
        <v>2009.Visitor Days.SFR</v>
      </c>
      <c r="D37" s="537" t="s">
        <v>197</v>
      </c>
      <c r="E37" s="669" t="s">
        <v>175</v>
      </c>
      <c r="F37" s="669" t="s">
        <v>19</v>
      </c>
      <c r="G37" s="669" t="s">
        <v>19</v>
      </c>
      <c r="H37" s="537">
        <v>37.196809570392709</v>
      </c>
      <c r="I37" s="537">
        <v>20.195281967604011</v>
      </c>
      <c r="J37" s="537">
        <v>22.411148773807209</v>
      </c>
      <c r="K37" s="537">
        <v>40.606326822092946</v>
      </c>
      <c r="L37" s="537">
        <v>33.913867927394847</v>
      </c>
      <c r="M37" s="537">
        <v>44.3415602123074</v>
      </c>
      <c r="N37" s="537">
        <v>50.991593248059012</v>
      </c>
      <c r="O37" s="537">
        <v>90.091784410172053</v>
      </c>
      <c r="P37" s="537">
        <v>35.851473925462138</v>
      </c>
      <c r="Q37" s="537">
        <v>30.400455696168184</v>
      </c>
      <c r="R37" s="537">
        <v>27.967416114281182</v>
      </c>
      <c r="S37" s="537">
        <v>62.989931145275335</v>
      </c>
      <c r="T37" s="537">
        <v>496.95764981301704</v>
      </c>
      <c r="U37" s="537" t="s">
        <v>62</v>
      </c>
    </row>
    <row r="38" spans="1:21" x14ac:dyDescent="0.2">
      <c r="A38" s="537" t="str">
        <f t="shared" si="0"/>
        <v>Moray.2009.Visitor Days.Day Visitor</v>
      </c>
      <c r="B38" s="537" t="s">
        <v>196</v>
      </c>
      <c r="C38" s="537" t="str">
        <f t="shared" si="1"/>
        <v>2009.Visitor Days.Day Visitor</v>
      </c>
      <c r="D38" s="537" t="s">
        <v>197</v>
      </c>
      <c r="E38" s="669" t="s">
        <v>175</v>
      </c>
      <c r="F38" s="669" t="s">
        <v>73</v>
      </c>
      <c r="G38" s="669" t="s">
        <v>73</v>
      </c>
      <c r="H38" s="537">
        <v>20.694365697513732</v>
      </c>
      <c r="I38" s="537">
        <v>25.070617449879762</v>
      </c>
      <c r="J38" s="537">
        <v>35.484345574923481</v>
      </c>
      <c r="K38" s="537">
        <v>14.269794705873812</v>
      </c>
      <c r="L38" s="537">
        <v>30.482484204181784</v>
      </c>
      <c r="M38" s="537">
        <v>23.844366825048887</v>
      </c>
      <c r="N38" s="537">
        <v>33.464326667493978</v>
      </c>
      <c r="O38" s="537">
        <v>25.168670404727965</v>
      </c>
      <c r="P38" s="537">
        <v>9.1254189985044878</v>
      </c>
      <c r="Q38" s="537">
        <v>13.1521405625124</v>
      </c>
      <c r="R38" s="537">
        <v>13.253813741366889</v>
      </c>
      <c r="S38" s="537">
        <v>7.7087670924950977</v>
      </c>
      <c r="T38" s="537">
        <v>251.71911192452228</v>
      </c>
      <c r="U38" s="537" t="s">
        <v>62</v>
      </c>
    </row>
    <row r="39" spans="1:21" x14ac:dyDescent="0.2">
      <c r="A39" s="537" t="str">
        <f t="shared" si="0"/>
        <v>Moray.2009.Visitor Days.Total</v>
      </c>
      <c r="B39" s="537" t="s">
        <v>196</v>
      </c>
      <c r="C39" s="537" t="str">
        <f t="shared" si="1"/>
        <v>2009.Visitor Days.Total</v>
      </c>
      <c r="D39" s="537" t="s">
        <v>197</v>
      </c>
      <c r="E39" s="669" t="s">
        <v>175</v>
      </c>
      <c r="F39" s="669" t="s">
        <v>55</v>
      </c>
      <c r="G39" s="669" t="s">
        <v>55</v>
      </c>
      <c r="H39" s="537">
        <v>91.873834028561831</v>
      </c>
      <c r="I39" s="537">
        <v>78.307859573458714</v>
      </c>
      <c r="J39" s="537">
        <v>91.298199140253999</v>
      </c>
      <c r="K39" s="537">
        <v>130.21545151558917</v>
      </c>
      <c r="L39" s="537">
        <v>170.30161258490369</v>
      </c>
      <c r="M39" s="537">
        <v>171.9810428043524</v>
      </c>
      <c r="N39" s="537">
        <v>231.18000435854674</v>
      </c>
      <c r="O39" s="537">
        <v>262.43881470906717</v>
      </c>
      <c r="P39" s="537">
        <v>147.71157499864347</v>
      </c>
      <c r="Q39" s="537">
        <v>127.2615529148421</v>
      </c>
      <c r="R39" s="537">
        <v>79.580775191269055</v>
      </c>
      <c r="S39" s="537">
        <v>96.363404143551946</v>
      </c>
      <c r="T39" s="537">
        <v>1678.5141259630402</v>
      </c>
      <c r="U39" s="537" t="s">
        <v>62</v>
      </c>
    </row>
    <row r="40" spans="1:21" x14ac:dyDescent="0.2">
      <c r="A40" s="537" t="str">
        <f t="shared" si="0"/>
        <v>Moray.2009.Visitor Numbers.Serviced Accommodation</v>
      </c>
      <c r="B40" s="537" t="s">
        <v>196</v>
      </c>
      <c r="C40" s="537" t="str">
        <f t="shared" si="1"/>
        <v>2009.Visitor Numbers.Serviced Accommodation</v>
      </c>
      <c r="D40" s="537" t="s">
        <v>197</v>
      </c>
      <c r="E40" s="669" t="s">
        <v>176</v>
      </c>
      <c r="F40" s="669" t="s">
        <v>44</v>
      </c>
      <c r="G40" s="669" t="s">
        <v>44</v>
      </c>
      <c r="H40" s="537">
        <v>9.8926859725421394</v>
      </c>
      <c r="I40" s="537">
        <v>11.20270564805843</v>
      </c>
      <c r="J40" s="537">
        <v>11.283419833265871</v>
      </c>
      <c r="K40" s="537">
        <v>14.427475335160423</v>
      </c>
      <c r="L40" s="537">
        <v>20.115517396672743</v>
      </c>
      <c r="M40" s="537">
        <v>19.300502308324397</v>
      </c>
      <c r="N40" s="537">
        <v>24.414393273291701</v>
      </c>
      <c r="O40" s="537">
        <v>23.538065722555903</v>
      </c>
      <c r="P40" s="537">
        <v>20.451284037689376</v>
      </c>
      <c r="Q40" s="537">
        <v>18.20112370972187</v>
      </c>
      <c r="R40" s="537">
        <v>14.327308746438378</v>
      </c>
      <c r="S40" s="537">
        <v>9.4892005726721464</v>
      </c>
      <c r="T40" s="537">
        <v>196.6436825563934</v>
      </c>
      <c r="U40" s="537" t="s">
        <v>62</v>
      </c>
    </row>
    <row r="41" spans="1:21" x14ac:dyDescent="0.2">
      <c r="A41" s="537" t="str">
        <f t="shared" si="0"/>
        <v>Moray.2009.Visitor Numbers.Non-Serviced Accommodation</v>
      </c>
      <c r="B41" s="537" t="s">
        <v>196</v>
      </c>
      <c r="C41" s="537" t="str">
        <f t="shared" si="1"/>
        <v>2009.Visitor Numbers.Non-Serviced Accommodation</v>
      </c>
      <c r="D41" s="537" t="s">
        <v>197</v>
      </c>
      <c r="E41" s="669" t="s">
        <v>176</v>
      </c>
      <c r="F41" s="669" t="s">
        <v>49</v>
      </c>
      <c r="G41" s="669" t="s">
        <v>49</v>
      </c>
      <c r="H41" s="537">
        <v>1.1244482621986176</v>
      </c>
      <c r="I41" s="537">
        <v>1.6119966430467489</v>
      </c>
      <c r="J41" s="537">
        <v>1.6047828677935805</v>
      </c>
      <c r="K41" s="537">
        <v>6.9244712615963557</v>
      </c>
      <c r="L41" s="537">
        <v>10.043573547058479</v>
      </c>
      <c r="M41" s="537">
        <v>8.3518760490624047</v>
      </c>
      <c r="N41" s="537">
        <v>12.835975431769834</v>
      </c>
      <c r="O41" s="537">
        <v>11.765658382677163</v>
      </c>
      <c r="P41" s="537">
        <v>7.8401848307938611</v>
      </c>
      <c r="Q41" s="537">
        <v>7.1450057005148171</v>
      </c>
      <c r="R41" s="537">
        <v>1.1282042317934411</v>
      </c>
      <c r="S41" s="537">
        <v>1.1376099474756136</v>
      </c>
      <c r="T41" s="537">
        <v>71.513787155780918</v>
      </c>
      <c r="U41" s="537" t="s">
        <v>62</v>
      </c>
    </row>
    <row r="42" spans="1:21" x14ac:dyDescent="0.2">
      <c r="A42" s="537" t="str">
        <f t="shared" si="0"/>
        <v>Moray.2009.Visitor Numbers.SFR</v>
      </c>
      <c r="B42" s="537" t="s">
        <v>196</v>
      </c>
      <c r="C42" s="537" t="str">
        <f t="shared" si="1"/>
        <v>2009.Visitor Numbers.SFR</v>
      </c>
      <c r="D42" s="537" t="s">
        <v>197</v>
      </c>
      <c r="E42" s="669" t="s">
        <v>176</v>
      </c>
      <c r="F42" s="669" t="s">
        <v>19</v>
      </c>
      <c r="G42" s="669" t="s">
        <v>19</v>
      </c>
      <c r="H42" s="537">
        <v>9.8665277375046969</v>
      </c>
      <c r="I42" s="537">
        <v>5.8537049181460894</v>
      </c>
      <c r="J42" s="537">
        <v>6.6699847541092891</v>
      </c>
      <c r="K42" s="537">
        <v>10.332398682466398</v>
      </c>
      <c r="L42" s="537">
        <v>8.564108062473446</v>
      </c>
      <c r="M42" s="537">
        <v>8.8154195253096219</v>
      </c>
      <c r="N42" s="537">
        <v>7.4440282113954765</v>
      </c>
      <c r="O42" s="537">
        <v>13.946096657921371</v>
      </c>
      <c r="P42" s="537">
        <v>8.3569869290121535</v>
      </c>
      <c r="Q42" s="537">
        <v>8.1284640898845399</v>
      </c>
      <c r="R42" s="537">
        <v>7.5792455594257948</v>
      </c>
      <c r="S42" s="537">
        <v>14.091707191336765</v>
      </c>
      <c r="T42" s="537">
        <v>109.64867231898565</v>
      </c>
      <c r="U42" s="537" t="s">
        <v>62</v>
      </c>
    </row>
    <row r="43" spans="1:21" x14ac:dyDescent="0.2">
      <c r="A43" s="537" t="str">
        <f t="shared" si="0"/>
        <v>Moray.2009.Visitor Numbers.Day Visitor</v>
      </c>
      <c r="B43" s="537" t="s">
        <v>196</v>
      </c>
      <c r="C43" s="537" t="str">
        <f t="shared" si="1"/>
        <v>2009.Visitor Numbers.Day Visitor</v>
      </c>
      <c r="D43" s="537" t="s">
        <v>197</v>
      </c>
      <c r="E43" s="669" t="s">
        <v>176</v>
      </c>
      <c r="F43" s="669" t="s">
        <v>73</v>
      </c>
      <c r="G43" s="669" t="s">
        <v>73</v>
      </c>
      <c r="H43" s="537">
        <v>20.694365697513732</v>
      </c>
      <c r="I43" s="537">
        <v>25.070617449879762</v>
      </c>
      <c r="J43" s="537">
        <v>35.484345574923481</v>
      </c>
      <c r="K43" s="537">
        <v>14.269794705873812</v>
      </c>
      <c r="L43" s="537">
        <v>30.482484204181784</v>
      </c>
      <c r="M43" s="537">
        <v>23.844366825048887</v>
      </c>
      <c r="N43" s="537">
        <v>33.464326667493978</v>
      </c>
      <c r="O43" s="537">
        <v>25.168670404727965</v>
      </c>
      <c r="P43" s="537">
        <v>9.1254189985044878</v>
      </c>
      <c r="Q43" s="537">
        <v>13.1521405625124</v>
      </c>
      <c r="R43" s="537">
        <v>13.253813741366889</v>
      </c>
      <c r="S43" s="537">
        <v>7.7087670924950977</v>
      </c>
      <c r="T43" s="537">
        <v>251.71911192452228</v>
      </c>
      <c r="U43" s="537" t="s">
        <v>62</v>
      </c>
    </row>
    <row r="44" spans="1:21" x14ac:dyDescent="0.2">
      <c r="A44" s="537" t="str">
        <f t="shared" si="0"/>
        <v>Moray.2009.Visitor Numbers.Total</v>
      </c>
      <c r="B44" s="537" t="s">
        <v>196</v>
      </c>
      <c r="C44" s="537" t="str">
        <f t="shared" si="1"/>
        <v>2009.Visitor Numbers.Total</v>
      </c>
      <c r="D44" s="537" t="s">
        <v>197</v>
      </c>
      <c r="E44" s="669" t="s">
        <v>176</v>
      </c>
      <c r="F44" s="669" t="s">
        <v>55</v>
      </c>
      <c r="G44" s="669" t="s">
        <v>55</v>
      </c>
      <c r="H44" s="537">
        <v>41.578027669759187</v>
      </c>
      <c r="I44" s="537">
        <v>43.739024659131033</v>
      </c>
      <c r="J44" s="537">
        <v>55.042533030092223</v>
      </c>
      <c r="K44" s="537">
        <v>45.954139985096987</v>
      </c>
      <c r="L44" s="537">
        <v>69.205683210386454</v>
      </c>
      <c r="M44" s="537">
        <v>60.31216470774531</v>
      </c>
      <c r="N44" s="537">
        <v>78.158723583950987</v>
      </c>
      <c r="O44" s="537">
        <v>74.418491167882408</v>
      </c>
      <c r="P44" s="537">
        <v>45.773874795999873</v>
      </c>
      <c r="Q44" s="537">
        <v>46.626734062633624</v>
      </c>
      <c r="R44" s="537">
        <v>36.288572279024507</v>
      </c>
      <c r="S44" s="537">
        <v>32.427284803979617</v>
      </c>
      <c r="T44" s="537">
        <v>629.52525395568227</v>
      </c>
      <c r="U44" s="537" t="s">
        <v>62</v>
      </c>
    </row>
    <row r="45" spans="1:21" x14ac:dyDescent="0.2">
      <c r="A45" s="537" t="str">
        <f t="shared" si="0"/>
        <v>Moray.2009.Vehicle Days.Serviced Accommodation</v>
      </c>
      <c r="B45" s="537" t="s">
        <v>196</v>
      </c>
      <c r="C45" s="537" t="str">
        <f t="shared" si="1"/>
        <v>2009.Vehicle Days.Serviced Accommodation</v>
      </c>
      <c r="D45" s="537" t="s">
        <v>197</v>
      </c>
      <c r="E45" s="669" t="s">
        <v>22</v>
      </c>
      <c r="F45" s="669" t="s">
        <v>44</v>
      </c>
      <c r="G45" s="669" t="s">
        <v>44</v>
      </c>
      <c r="H45" s="537">
        <v>5.2666865767418205</v>
      </c>
      <c r="I45" s="537">
        <v>5.237019477687106</v>
      </c>
      <c r="J45" s="537">
        <v>5.0019598813636321</v>
      </c>
      <c r="K45" s="537">
        <v>5.6145244242136325</v>
      </c>
      <c r="L45" s="537">
        <v>8.0563488690903142</v>
      </c>
      <c r="M45" s="537">
        <v>7.446740109305086</v>
      </c>
      <c r="N45" s="537">
        <v>10.00660427115835</v>
      </c>
      <c r="O45" s="537">
        <v>9.7721525213947018</v>
      </c>
      <c r="P45" s="537">
        <v>8.2201710913933663</v>
      </c>
      <c r="Q45" s="537">
        <v>7.4742503428056333</v>
      </c>
      <c r="R45" s="537">
        <v>6.7404129633371159</v>
      </c>
      <c r="S45" s="537">
        <v>3.7523673497929364</v>
      </c>
      <c r="T45" s="537">
        <v>82.589237878283697</v>
      </c>
      <c r="U45" s="537" t="s">
        <v>62</v>
      </c>
    </row>
    <row r="46" spans="1:21" x14ac:dyDescent="0.2">
      <c r="A46" s="537" t="str">
        <f t="shared" si="0"/>
        <v>Moray.2009.Vehicle Days.Non-Serviced Accommodation</v>
      </c>
      <c r="B46" s="537" t="s">
        <v>196</v>
      </c>
      <c r="C46" s="537" t="str">
        <f t="shared" si="1"/>
        <v>2009.Vehicle Days.Non-Serviced Accommodation</v>
      </c>
      <c r="D46" s="537" t="s">
        <v>197</v>
      </c>
      <c r="E46" s="669" t="s">
        <v>22</v>
      </c>
      <c r="F46" s="669" t="s">
        <v>49</v>
      </c>
      <c r="G46" s="669" t="s">
        <v>49</v>
      </c>
      <c r="H46" s="537">
        <v>2.0254115684093441</v>
      </c>
      <c r="I46" s="537">
        <v>2.0335406301824217</v>
      </c>
      <c r="J46" s="537">
        <v>2.6187279693486594</v>
      </c>
      <c r="K46" s="537">
        <v>7.6606387552745137</v>
      </c>
      <c r="L46" s="537">
        <v>12.462878380952382</v>
      </c>
      <c r="M46" s="537">
        <v>11.016385714285715</v>
      </c>
      <c r="N46" s="537">
        <v>17.481496190476193</v>
      </c>
      <c r="O46" s="537">
        <v>17.776128571428572</v>
      </c>
      <c r="P46" s="537">
        <v>11.933352653061227</v>
      </c>
      <c r="Q46" s="537">
        <v>9.0532990227909345</v>
      </c>
      <c r="R46" s="537">
        <v>1.2998452380952381</v>
      </c>
      <c r="S46" s="537">
        <v>1.5283357142857144</v>
      </c>
      <c r="T46" s="537">
        <v>96.890040408590934</v>
      </c>
      <c r="U46" s="537" t="s">
        <v>62</v>
      </c>
    </row>
    <row r="47" spans="1:21" x14ac:dyDescent="0.2">
      <c r="A47" s="537" t="str">
        <f t="shared" si="0"/>
        <v>Moray.2009.Vehicle Days.SFR</v>
      </c>
      <c r="B47" s="537" t="s">
        <v>196</v>
      </c>
      <c r="C47" s="537" t="str">
        <f t="shared" si="1"/>
        <v>2009.Vehicle Days.SFR</v>
      </c>
      <c r="D47" s="537" t="s">
        <v>197</v>
      </c>
      <c r="E47" s="669" t="s">
        <v>22</v>
      </c>
      <c r="F47" s="669" t="s">
        <v>19</v>
      </c>
      <c r="G47" s="669" t="s">
        <v>19</v>
      </c>
      <c r="H47" s="537">
        <v>10.415106679709957</v>
      </c>
      <c r="I47" s="537">
        <v>5.1406172281173843</v>
      </c>
      <c r="J47" s="537">
        <v>5.2292680472216819</v>
      </c>
      <c r="K47" s="537">
        <v>9.4748095918216872</v>
      </c>
      <c r="L47" s="537">
        <v>6.782773585478969</v>
      </c>
      <c r="M47" s="537">
        <v>9.5504898918815933</v>
      </c>
      <c r="N47" s="537">
        <v>10.198318649611801</v>
      </c>
      <c r="O47" s="537">
        <v>18.018356882034411</v>
      </c>
      <c r="P47" s="537">
        <v>8.3653439159411658</v>
      </c>
      <c r="Q47" s="537">
        <v>7.0934396624392431</v>
      </c>
      <c r="R47" s="537">
        <v>6.525730426665608</v>
      </c>
      <c r="S47" s="537">
        <v>14.697650600564243</v>
      </c>
      <c r="T47" s="537">
        <v>111.49190516148774</v>
      </c>
      <c r="U47" s="537" t="s">
        <v>62</v>
      </c>
    </row>
    <row r="48" spans="1:21" x14ac:dyDescent="0.2">
      <c r="A48" s="537" t="str">
        <f t="shared" si="0"/>
        <v>Moray.2009.Vehicle Days.Day Visitor</v>
      </c>
      <c r="B48" s="537" t="s">
        <v>196</v>
      </c>
      <c r="C48" s="537" t="str">
        <f t="shared" si="1"/>
        <v>2009.Vehicle Days.Day Visitor</v>
      </c>
      <c r="D48" s="537" t="s">
        <v>197</v>
      </c>
      <c r="E48" s="669" t="s">
        <v>22</v>
      </c>
      <c r="F48" s="669" t="s">
        <v>73</v>
      </c>
      <c r="G48" s="669" t="s">
        <v>73</v>
      </c>
      <c r="H48" s="537">
        <v>4.7301407308602812</v>
      </c>
      <c r="I48" s="537">
        <v>5.7304268456868037</v>
      </c>
      <c r="J48" s="537">
        <v>7.5699937226503424</v>
      </c>
      <c r="K48" s="537">
        <v>2.8539589411747626</v>
      </c>
      <c r="L48" s="537">
        <v>6.0964968408363571</v>
      </c>
      <c r="M48" s="537">
        <v>4.8911521692407973</v>
      </c>
      <c r="N48" s="537">
        <v>6.3741574604750433</v>
      </c>
      <c r="O48" s="537">
        <v>4.7940324580434215</v>
      </c>
      <c r="P48" s="537">
        <v>1.9467560530142909</v>
      </c>
      <c r="Q48" s="537">
        <v>2.8057899866693123</v>
      </c>
      <c r="R48" s="537">
        <v>2.8274802648249366</v>
      </c>
      <c r="S48" s="537">
        <v>1.6445369797322877</v>
      </c>
      <c r="T48" s="537">
        <v>52.264922453208634</v>
      </c>
      <c r="U48" s="537" t="s">
        <v>62</v>
      </c>
    </row>
    <row r="49" spans="1:21" x14ac:dyDescent="0.2">
      <c r="A49" s="537" t="str">
        <f t="shared" si="0"/>
        <v>Moray.2009.Vehicle Days.Total</v>
      </c>
      <c r="B49" s="537" t="s">
        <v>196</v>
      </c>
      <c r="C49" s="537" t="str">
        <f t="shared" si="1"/>
        <v>2009.Vehicle Days.Total</v>
      </c>
      <c r="D49" s="537" t="s">
        <v>197</v>
      </c>
      <c r="E49" s="669" t="s">
        <v>22</v>
      </c>
      <c r="F49" s="669" t="s">
        <v>55</v>
      </c>
      <c r="G49" s="669" t="s">
        <v>55</v>
      </c>
      <c r="H49" s="537">
        <v>22.437345555721404</v>
      </c>
      <c r="I49" s="537">
        <v>18.141604181673717</v>
      </c>
      <c r="J49" s="537">
        <v>20.419949620584315</v>
      </c>
      <c r="K49" s="537">
        <v>25.603931712484599</v>
      </c>
      <c r="L49" s="537">
        <v>33.398497676358026</v>
      </c>
      <c r="M49" s="537">
        <v>32.904767884713195</v>
      </c>
      <c r="N49" s="537">
        <v>44.060576571721384</v>
      </c>
      <c r="O49" s="537">
        <v>50.360670432901102</v>
      </c>
      <c r="P49" s="537">
        <v>30.465623713410054</v>
      </c>
      <c r="Q49" s="537">
        <v>26.426779014705119</v>
      </c>
      <c r="R49" s="537">
        <v>17.393468892922897</v>
      </c>
      <c r="S49" s="537">
        <v>21.622890644375182</v>
      </c>
      <c r="T49" s="537">
        <v>343.23610590157097</v>
      </c>
      <c r="U49" s="537" t="s">
        <v>62</v>
      </c>
    </row>
    <row r="50" spans="1:21" x14ac:dyDescent="0.2">
      <c r="A50" s="537" t="str">
        <f t="shared" si="0"/>
        <v>Moray.2009.Vehicle Numbers.Serviced Accommodation</v>
      </c>
      <c r="B50" s="537" t="s">
        <v>196</v>
      </c>
      <c r="C50" s="537" t="str">
        <f t="shared" si="1"/>
        <v>2009.Vehicle Numbers.Serviced Accommodation</v>
      </c>
      <c r="D50" s="537" t="s">
        <v>197</v>
      </c>
      <c r="E50" s="669" t="s">
        <v>23</v>
      </c>
      <c r="F50" s="669" t="s">
        <v>44</v>
      </c>
      <c r="G50" s="669" t="s">
        <v>44</v>
      </c>
      <c r="H50" s="537">
        <v>2.1449878381137961</v>
      </c>
      <c r="I50" s="537">
        <v>2.5934479083644502</v>
      </c>
      <c r="J50" s="537">
        <v>2.5967520041098702</v>
      </c>
      <c r="K50" s="537">
        <v>2.8713555356690792</v>
      </c>
      <c r="L50" s="537">
        <v>4.2846979446957985</v>
      </c>
      <c r="M50" s="537">
        <v>3.78762217385448</v>
      </c>
      <c r="N50" s="537">
        <v>5.0822058161092389</v>
      </c>
      <c r="O50" s="537">
        <v>4.8866754194933186</v>
      </c>
      <c r="P50" s="537">
        <v>4.3649226576326203</v>
      </c>
      <c r="Q50" s="537">
        <v>3.8815948292611235</v>
      </c>
      <c r="R50" s="537">
        <v>3.06622850937101</v>
      </c>
      <c r="S50" s="537">
        <v>2.0536850491721728</v>
      </c>
      <c r="T50" s="537">
        <v>41.614175685846959</v>
      </c>
      <c r="U50" s="537" t="s">
        <v>62</v>
      </c>
    </row>
    <row r="51" spans="1:21" x14ac:dyDescent="0.2">
      <c r="A51" s="537" t="str">
        <f t="shared" si="0"/>
        <v>Moray.2009.Vehicle Numbers.Non-Serviced Accommodation</v>
      </c>
      <c r="B51" s="537" t="s">
        <v>196</v>
      </c>
      <c r="C51" s="537" t="str">
        <f t="shared" si="1"/>
        <v>2009.Vehicle Numbers.Non-Serviced Accommodation</v>
      </c>
      <c r="D51" s="537" t="s">
        <v>197</v>
      </c>
      <c r="E51" s="669" t="s">
        <v>23</v>
      </c>
      <c r="F51" s="669" t="s">
        <v>49</v>
      </c>
      <c r="G51" s="669" t="s">
        <v>49</v>
      </c>
      <c r="H51" s="537">
        <v>0.23577140981583916</v>
      </c>
      <c r="I51" s="537">
        <v>0.31751449029708695</v>
      </c>
      <c r="J51" s="537">
        <v>0.35969271174683698</v>
      </c>
      <c r="K51" s="537">
        <v>1.1234035221190897</v>
      </c>
      <c r="L51" s="537">
        <v>1.8385099851554036</v>
      </c>
      <c r="M51" s="537">
        <v>1.3923711533702425</v>
      </c>
      <c r="N51" s="537">
        <v>2.272732527493126</v>
      </c>
      <c r="O51" s="537">
        <v>2.0869749611487602</v>
      </c>
      <c r="P51" s="537">
        <v>1.4560343257188599</v>
      </c>
      <c r="Q51" s="537">
        <v>1.3269296300956088</v>
      </c>
      <c r="R51" s="537">
        <v>0.20952364304735338</v>
      </c>
      <c r="S51" s="537">
        <v>0.21127041881689967</v>
      </c>
      <c r="T51" s="537">
        <v>12.830728778825108</v>
      </c>
      <c r="U51" s="537" t="s">
        <v>62</v>
      </c>
    </row>
    <row r="52" spans="1:21" x14ac:dyDescent="0.2">
      <c r="A52" s="537" t="str">
        <f t="shared" si="0"/>
        <v>Moray.2009.Vehicle Numbers.SFR</v>
      </c>
      <c r="B52" s="537" t="s">
        <v>196</v>
      </c>
      <c r="C52" s="537" t="str">
        <f t="shared" si="1"/>
        <v>2009.Vehicle Numbers.SFR</v>
      </c>
      <c r="D52" s="537" t="s">
        <v>197</v>
      </c>
      <c r="E52" s="669" t="s">
        <v>23</v>
      </c>
      <c r="F52" s="669" t="s">
        <v>19</v>
      </c>
      <c r="G52" s="669" t="s">
        <v>19</v>
      </c>
      <c r="H52" s="537">
        <v>2.762627766501315</v>
      </c>
      <c r="I52" s="537">
        <v>1.4900339791644592</v>
      </c>
      <c r="J52" s="537">
        <v>1.5563297759588341</v>
      </c>
      <c r="K52" s="537">
        <v>2.4108930259088259</v>
      </c>
      <c r="L52" s="537">
        <v>1.7128216124946891</v>
      </c>
      <c r="M52" s="537">
        <v>1.8987057439128414</v>
      </c>
      <c r="N52" s="537">
        <v>1.4888056422790952</v>
      </c>
      <c r="O52" s="537">
        <v>2.7892193315842739</v>
      </c>
      <c r="P52" s="537">
        <v>1.9499636167695023</v>
      </c>
      <c r="Q52" s="537">
        <v>1.896641620973059</v>
      </c>
      <c r="R52" s="537">
        <v>1.7684906305326855</v>
      </c>
      <c r="S52" s="537">
        <v>3.2880650113119119</v>
      </c>
      <c r="T52" s="537">
        <v>25.012597757391493</v>
      </c>
      <c r="U52" s="537" t="s">
        <v>62</v>
      </c>
    </row>
    <row r="53" spans="1:21" x14ac:dyDescent="0.2">
      <c r="A53" s="537" t="str">
        <f t="shared" si="0"/>
        <v>Moray.2009.Vehicle Numbers.Day Visitor</v>
      </c>
      <c r="B53" s="537" t="s">
        <v>196</v>
      </c>
      <c r="C53" s="537" t="str">
        <f t="shared" si="1"/>
        <v>2009.Vehicle Numbers.Day Visitor</v>
      </c>
      <c r="D53" s="537" t="s">
        <v>197</v>
      </c>
      <c r="E53" s="669" t="s">
        <v>23</v>
      </c>
      <c r="F53" s="669" t="s">
        <v>73</v>
      </c>
      <c r="G53" s="669" t="s">
        <v>73</v>
      </c>
      <c r="H53" s="537">
        <v>4.7301407308602812</v>
      </c>
      <c r="I53" s="537">
        <v>5.7304268456868037</v>
      </c>
      <c r="J53" s="537">
        <v>7.5699937226503424</v>
      </c>
      <c r="K53" s="537">
        <v>2.8539589411747626</v>
      </c>
      <c r="L53" s="537">
        <v>6.0964968408363571</v>
      </c>
      <c r="M53" s="537">
        <v>4.8911521692407973</v>
      </c>
      <c r="N53" s="537">
        <v>6.3741574604750433</v>
      </c>
      <c r="O53" s="537">
        <v>4.7940324580434215</v>
      </c>
      <c r="P53" s="537">
        <v>1.9467560530142909</v>
      </c>
      <c r="Q53" s="537">
        <v>2.8057899866693123</v>
      </c>
      <c r="R53" s="537">
        <v>2.8274802648249366</v>
      </c>
      <c r="S53" s="537">
        <v>1.6445369797322877</v>
      </c>
      <c r="T53" s="537">
        <v>52.264922453208634</v>
      </c>
      <c r="U53" s="537" t="s">
        <v>62</v>
      </c>
    </row>
    <row r="54" spans="1:21" x14ac:dyDescent="0.2">
      <c r="A54" s="537" t="str">
        <f t="shared" si="0"/>
        <v>Moray.2009.Vehicle Numbers.Total</v>
      </c>
      <c r="B54" s="537" t="s">
        <v>196</v>
      </c>
      <c r="C54" s="537" t="str">
        <f t="shared" si="1"/>
        <v>2009.Vehicle Numbers.Total</v>
      </c>
      <c r="D54" s="537" t="s">
        <v>197</v>
      </c>
      <c r="E54" s="669" t="s">
        <v>23</v>
      </c>
      <c r="F54" s="669" t="s">
        <v>55</v>
      </c>
      <c r="G54" s="669" t="s">
        <v>55</v>
      </c>
      <c r="H54" s="537">
        <v>9.8735277452912307</v>
      </c>
      <c r="I54" s="537">
        <v>10.131423223512801</v>
      </c>
      <c r="J54" s="537">
        <v>12.082768214465883</v>
      </c>
      <c r="K54" s="537">
        <v>9.2596110248717576</v>
      </c>
      <c r="L54" s="537">
        <v>13.932526383182248</v>
      </c>
      <c r="M54" s="537">
        <v>11.969851240378361</v>
      </c>
      <c r="N54" s="537">
        <v>15.217901446356503</v>
      </c>
      <c r="O54" s="537">
        <v>14.556902170269774</v>
      </c>
      <c r="P54" s="537">
        <v>9.717676653135273</v>
      </c>
      <c r="Q54" s="537">
        <v>9.9109560669991037</v>
      </c>
      <c r="R54" s="537">
        <v>7.8717230477759852</v>
      </c>
      <c r="S54" s="537">
        <v>7.1975574590332725</v>
      </c>
      <c r="T54" s="537">
        <v>131.72242467527221</v>
      </c>
      <c r="U54" s="537" t="s">
        <v>62</v>
      </c>
    </row>
    <row r="55" spans="1:21" x14ac:dyDescent="0.2">
      <c r="A55" s="537" t="str">
        <f t="shared" si="0"/>
        <v>Moray.2009.Accommodation.Serviced Accommodation</v>
      </c>
      <c r="B55" s="537" t="s">
        <v>196</v>
      </c>
      <c r="C55" s="537" t="str">
        <f t="shared" si="1"/>
        <v>2009.Accommodation.Serviced Accommodation</v>
      </c>
      <c r="D55" s="537" t="s">
        <v>197</v>
      </c>
      <c r="E55" s="669" t="s">
        <v>24</v>
      </c>
      <c r="F55" s="669" t="s">
        <v>44</v>
      </c>
      <c r="G55" s="669" t="s">
        <v>44</v>
      </c>
      <c r="H55" s="537">
        <v>2580.4193548387098</v>
      </c>
      <c r="I55" s="537">
        <v>2581</v>
      </c>
      <c r="J55" s="537">
        <v>2594</v>
      </c>
      <c r="K55" s="537">
        <v>2616.4193548387098</v>
      </c>
      <c r="L55" s="537">
        <v>2630</v>
      </c>
      <c r="M55" s="537">
        <v>2633</v>
      </c>
      <c r="N55" s="537">
        <v>2633</v>
      </c>
      <c r="O55" s="537">
        <v>2633</v>
      </c>
      <c r="P55" s="537">
        <v>2630</v>
      </c>
      <c r="Q55" s="537">
        <v>2619</v>
      </c>
      <c r="R55" s="537">
        <v>2586</v>
      </c>
      <c r="S55" s="537">
        <v>2552.677419354839</v>
      </c>
      <c r="T55" s="537">
        <v>2633</v>
      </c>
      <c r="U55" s="537" t="s">
        <v>59</v>
      </c>
    </row>
    <row r="56" spans="1:21" x14ac:dyDescent="0.2">
      <c r="A56" s="537" t="str">
        <f t="shared" si="0"/>
        <v>Moray.2009.Accommodation.Non-Serviced Accommodation</v>
      </c>
      <c r="B56" s="537" t="s">
        <v>196</v>
      </c>
      <c r="C56" s="537" t="str">
        <f t="shared" si="1"/>
        <v>2009.Accommodation.Non-Serviced Accommodation</v>
      </c>
      <c r="D56" s="537" t="s">
        <v>197</v>
      </c>
      <c r="E56" s="669" t="s">
        <v>24</v>
      </c>
      <c r="F56" s="669" t="s">
        <v>49</v>
      </c>
      <c r="G56" s="669" t="s">
        <v>49</v>
      </c>
      <c r="H56" s="537">
        <v>1090</v>
      </c>
      <c r="I56" s="537">
        <v>1078</v>
      </c>
      <c r="J56" s="537">
        <v>1698</v>
      </c>
      <c r="K56" s="537">
        <v>4202</v>
      </c>
      <c r="L56" s="537">
        <v>4219</v>
      </c>
      <c r="M56" s="537">
        <v>4234</v>
      </c>
      <c r="N56" s="537">
        <v>4234</v>
      </c>
      <c r="O56" s="537">
        <v>4234</v>
      </c>
      <c r="P56" s="537">
        <v>4234</v>
      </c>
      <c r="Q56" s="537">
        <v>4051</v>
      </c>
      <c r="R56" s="537">
        <v>1246</v>
      </c>
      <c r="S56" s="537">
        <v>1090</v>
      </c>
      <c r="T56" s="537">
        <v>4234</v>
      </c>
      <c r="U56" s="537" t="s">
        <v>59</v>
      </c>
    </row>
    <row r="57" spans="1:21" x14ac:dyDescent="0.2">
      <c r="A57" s="537" t="str">
        <f t="shared" si="0"/>
        <v>Moray.2009.Accommodation.Total</v>
      </c>
      <c r="B57" s="537" t="s">
        <v>196</v>
      </c>
      <c r="C57" s="537" t="str">
        <f t="shared" si="1"/>
        <v>2009.Accommodation.Total</v>
      </c>
      <c r="D57" s="537" t="s">
        <v>197</v>
      </c>
      <c r="E57" s="669" t="s">
        <v>24</v>
      </c>
      <c r="F57" s="669" t="s">
        <v>55</v>
      </c>
      <c r="G57" s="669" t="s">
        <v>55</v>
      </c>
      <c r="H57" s="537">
        <v>3670.4193548387098</v>
      </c>
      <c r="I57" s="537">
        <v>3659</v>
      </c>
      <c r="J57" s="537">
        <v>4292</v>
      </c>
      <c r="K57" s="537">
        <v>6818.4193548387102</v>
      </c>
      <c r="L57" s="537">
        <v>6849</v>
      </c>
      <c r="M57" s="537">
        <v>6867</v>
      </c>
      <c r="N57" s="537">
        <v>6867</v>
      </c>
      <c r="O57" s="537">
        <v>6867</v>
      </c>
      <c r="P57" s="537">
        <v>6864</v>
      </c>
      <c r="Q57" s="537">
        <v>6670</v>
      </c>
      <c r="R57" s="537">
        <v>3832</v>
      </c>
      <c r="S57" s="537">
        <v>3642.677419354839</v>
      </c>
      <c r="T57" s="537">
        <v>6867</v>
      </c>
      <c r="U57" s="537" t="s">
        <v>59</v>
      </c>
    </row>
    <row r="58" spans="1:21" x14ac:dyDescent="0.2">
      <c r="A58" s="537" t="str">
        <f t="shared" si="0"/>
        <v>Moray.2009.Economic Impact.Total</v>
      </c>
      <c r="B58" s="537" t="s">
        <v>196</v>
      </c>
      <c r="C58" s="537" t="str">
        <f t="shared" si="1"/>
        <v>2009.Economic Impact.Total</v>
      </c>
      <c r="D58" s="537" t="s">
        <v>197</v>
      </c>
      <c r="E58" s="669" t="s">
        <v>18</v>
      </c>
      <c r="F58" s="669" t="s">
        <v>55</v>
      </c>
      <c r="G58" s="669" t="s">
        <v>55</v>
      </c>
      <c r="H58" s="537">
        <v>5293.995379930464</v>
      </c>
      <c r="I58" s="537">
        <v>4741.5845545105449</v>
      </c>
      <c r="J58" s="537">
        <v>5207.0061596503529</v>
      </c>
      <c r="K58" s="537">
        <v>5800.4893138741227</v>
      </c>
      <c r="L58" s="537">
        <v>7671.2869209699347</v>
      </c>
      <c r="M58" s="537">
        <v>7537.0227079630522</v>
      </c>
      <c r="N58" s="537">
        <v>11294.382323131675</v>
      </c>
      <c r="O58" s="537">
        <v>11504.328120730321</v>
      </c>
      <c r="P58" s="537">
        <v>6805.7952485299629</v>
      </c>
      <c r="Q58" s="537">
        <v>6354.8724122794611</v>
      </c>
      <c r="R58" s="537">
        <v>4356.2984796622004</v>
      </c>
      <c r="S58" s="537">
        <v>3574.9431891651034</v>
      </c>
      <c r="T58" s="537">
        <v>80142.004810397208</v>
      </c>
      <c r="U58" s="537" t="s">
        <v>58</v>
      </c>
    </row>
    <row r="59" spans="1:21" x14ac:dyDescent="0.2">
      <c r="A59" s="537" t="str">
        <f t="shared" si="0"/>
        <v>Moray.2010.Economic Impact.Indirect Expenditure</v>
      </c>
      <c r="B59" s="537" t="s">
        <v>196</v>
      </c>
      <c r="C59" s="537" t="str">
        <f t="shared" si="1"/>
        <v>2010.Economic Impact.Indirect Expenditure</v>
      </c>
      <c r="D59" s="537" t="s">
        <v>205</v>
      </c>
      <c r="E59" s="537" t="s">
        <v>18</v>
      </c>
      <c r="F59" s="537" t="s">
        <v>46</v>
      </c>
      <c r="G59" s="537" t="s">
        <v>46</v>
      </c>
      <c r="H59" s="537">
        <v>1158.9469181600266</v>
      </c>
      <c r="I59" s="537">
        <v>1069.5944961259972</v>
      </c>
      <c r="J59" s="537">
        <v>1592.1946015860135</v>
      </c>
      <c r="K59" s="537">
        <v>1627.7998533211367</v>
      </c>
      <c r="L59" s="537">
        <v>2093.695704961734</v>
      </c>
      <c r="M59" s="537">
        <v>2236.0468735954669</v>
      </c>
      <c r="N59" s="537">
        <v>2632.7742085232426</v>
      </c>
      <c r="O59" s="537">
        <v>2761.2071327443941</v>
      </c>
      <c r="P59" s="537">
        <v>1737.6567395124625</v>
      </c>
      <c r="Q59" s="537">
        <v>1656.2949774133519</v>
      </c>
      <c r="R59" s="537">
        <v>889.04019906245162</v>
      </c>
      <c r="S59" s="537">
        <v>851.33267143895102</v>
      </c>
      <c r="T59" s="537">
        <v>20306.584376445229</v>
      </c>
      <c r="U59" s="537" t="s">
        <v>58</v>
      </c>
    </row>
    <row r="60" spans="1:21" x14ac:dyDescent="0.2">
      <c r="A60" s="537" t="str">
        <f t="shared" si="0"/>
        <v>Moray.2010.Economic Impact.Direct Revenue</v>
      </c>
      <c r="B60" s="537" t="s">
        <v>196</v>
      </c>
      <c r="C60" s="537" t="str">
        <f t="shared" si="1"/>
        <v>2010.Economic Impact.Direct Revenue</v>
      </c>
      <c r="D60" s="537" t="s">
        <v>205</v>
      </c>
      <c r="E60" s="537" t="s">
        <v>18</v>
      </c>
      <c r="F60" s="537" t="s">
        <v>47</v>
      </c>
      <c r="G60" s="537" t="s">
        <v>47</v>
      </c>
      <c r="H60" s="537">
        <v>3220.567472665733</v>
      </c>
      <c r="I60" s="537">
        <v>2924.5181730549966</v>
      </c>
      <c r="J60" s="537">
        <v>4428.6734261394959</v>
      </c>
      <c r="K60" s="537">
        <v>4330.1762442750887</v>
      </c>
      <c r="L60" s="537">
        <v>5590.3664164581969</v>
      </c>
      <c r="M60" s="537">
        <v>5951.4794084856767</v>
      </c>
      <c r="N60" s="537">
        <v>7094.4042271925773</v>
      </c>
      <c r="O60" s="537">
        <v>7404.0745962328037</v>
      </c>
      <c r="P60" s="537">
        <v>4674.8098465628709</v>
      </c>
      <c r="Q60" s="537">
        <v>4387.1081921524537</v>
      </c>
      <c r="R60" s="537">
        <v>2398.6450849143657</v>
      </c>
      <c r="S60" s="537">
        <v>2269.0730070573795</v>
      </c>
      <c r="T60" s="537">
        <v>54673.896095191638</v>
      </c>
      <c r="U60" s="537" t="s">
        <v>58</v>
      </c>
    </row>
    <row r="61" spans="1:21" x14ac:dyDescent="0.2">
      <c r="A61" s="537" t="str">
        <f t="shared" si="0"/>
        <v>Moray.2010.Economic Impact.VAT</v>
      </c>
      <c r="B61" s="537" t="s">
        <v>196</v>
      </c>
      <c r="C61" s="537" t="str">
        <f t="shared" si="1"/>
        <v>2010.Economic Impact.VAT</v>
      </c>
      <c r="D61" s="537" t="s">
        <v>205</v>
      </c>
      <c r="E61" s="537" t="s">
        <v>18</v>
      </c>
      <c r="F61" s="537" t="s">
        <v>48</v>
      </c>
      <c r="G61" s="537" t="s">
        <v>48</v>
      </c>
      <c r="H61" s="537">
        <v>563.59930771650329</v>
      </c>
      <c r="I61" s="537">
        <v>511.79068028462439</v>
      </c>
      <c r="J61" s="537">
        <v>775.0178495744118</v>
      </c>
      <c r="K61" s="537">
        <v>757.78084274814046</v>
      </c>
      <c r="L61" s="537">
        <v>978.31412288018441</v>
      </c>
      <c r="M61" s="537">
        <v>1041.5088964849936</v>
      </c>
      <c r="N61" s="537">
        <v>1241.520739758701</v>
      </c>
      <c r="O61" s="537">
        <v>1295.7130543407407</v>
      </c>
      <c r="P61" s="537">
        <v>818.09172314850241</v>
      </c>
      <c r="Q61" s="537">
        <v>767.74393362667934</v>
      </c>
      <c r="R61" s="537">
        <v>419.76288986001401</v>
      </c>
      <c r="S61" s="537">
        <v>397.08777623504142</v>
      </c>
      <c r="T61" s="537">
        <v>9567.9318166585363</v>
      </c>
      <c r="U61" s="537" t="s">
        <v>58</v>
      </c>
    </row>
    <row r="62" spans="1:21" x14ac:dyDescent="0.2">
      <c r="A62" s="537" t="str">
        <f t="shared" si="0"/>
        <v>Moray.2010.Economic Impact.Serviced Accommodation</v>
      </c>
      <c r="B62" s="537" t="s">
        <v>196</v>
      </c>
      <c r="C62" s="537" t="str">
        <f t="shared" si="1"/>
        <v>2010.Economic Impact.Serviced Accommodation</v>
      </c>
      <c r="D62" s="537" t="s">
        <v>205</v>
      </c>
      <c r="E62" s="537" t="s">
        <v>18</v>
      </c>
      <c r="F62" s="537" t="s">
        <v>44</v>
      </c>
      <c r="G62" s="537" t="s">
        <v>44</v>
      </c>
      <c r="H62" s="537">
        <v>2402.1729955965202</v>
      </c>
      <c r="I62" s="537">
        <v>2163.7791803772125</v>
      </c>
      <c r="J62" s="537">
        <v>3633.3030895397505</v>
      </c>
      <c r="K62" s="537">
        <v>2772.5161737483586</v>
      </c>
      <c r="L62" s="537">
        <v>3704.0093795833227</v>
      </c>
      <c r="M62" s="537">
        <v>3600.6686560687795</v>
      </c>
      <c r="N62" s="537">
        <v>5299.1744930515852</v>
      </c>
      <c r="O62" s="537">
        <v>5049.5903747657567</v>
      </c>
      <c r="P62" s="537">
        <v>3577.3700872177083</v>
      </c>
      <c r="Q62" s="537">
        <v>3135.7644958018418</v>
      </c>
      <c r="R62" s="537">
        <v>1789.5189070960341</v>
      </c>
      <c r="S62" s="537">
        <v>1196.3908566427428</v>
      </c>
      <c r="T62" s="537">
        <v>38324.258689489609</v>
      </c>
      <c r="U62" s="537" t="s">
        <v>58</v>
      </c>
    </row>
    <row r="63" spans="1:21" x14ac:dyDescent="0.2">
      <c r="A63" s="537" t="str">
        <f t="shared" si="0"/>
        <v>Moray.2010.Economic Impact.Non-Serviced Accommodation</v>
      </c>
      <c r="B63" s="537" t="s">
        <v>196</v>
      </c>
      <c r="C63" s="537" t="str">
        <f t="shared" si="1"/>
        <v>2010.Economic Impact.Non-Serviced Accommodation</v>
      </c>
      <c r="D63" s="537" t="s">
        <v>205</v>
      </c>
      <c r="E63" s="537" t="s">
        <v>18</v>
      </c>
      <c r="F63" s="537" t="s">
        <v>49</v>
      </c>
      <c r="G63" s="537" t="s">
        <v>49</v>
      </c>
      <c r="H63" s="537">
        <v>433.68279032776303</v>
      </c>
      <c r="I63" s="537">
        <v>514.55082922919541</v>
      </c>
      <c r="J63" s="537">
        <v>658.26423889315902</v>
      </c>
      <c r="K63" s="537">
        <v>2144.0787145818131</v>
      </c>
      <c r="L63" s="537">
        <v>2818.0634867309809</v>
      </c>
      <c r="M63" s="537">
        <v>3326.1263180897649</v>
      </c>
      <c r="N63" s="537">
        <v>3477.2332985101793</v>
      </c>
      <c r="O63" s="537">
        <v>3788.6362413906877</v>
      </c>
      <c r="P63" s="537">
        <v>2608.951387369757</v>
      </c>
      <c r="Q63" s="537">
        <v>2342.3083735502037</v>
      </c>
      <c r="R63" s="537">
        <v>666.63324418395428</v>
      </c>
      <c r="S63" s="537">
        <v>568.17743830974928</v>
      </c>
      <c r="T63" s="537">
        <v>23346.706361167209</v>
      </c>
      <c r="U63" s="537" t="s">
        <v>58</v>
      </c>
    </row>
    <row r="64" spans="1:21" x14ac:dyDescent="0.2">
      <c r="A64" s="537" t="str">
        <f t="shared" si="0"/>
        <v>Moray.2010.Economic Impact.SFR</v>
      </c>
      <c r="B64" s="537" t="s">
        <v>196</v>
      </c>
      <c r="C64" s="537" t="str">
        <f t="shared" si="1"/>
        <v>2010.Economic Impact.SFR</v>
      </c>
      <c r="D64" s="537" t="s">
        <v>205</v>
      </c>
      <c r="E64" s="537" t="s">
        <v>18</v>
      </c>
      <c r="F64" s="537" t="s">
        <v>19</v>
      </c>
      <c r="G64" s="537" t="s">
        <v>19</v>
      </c>
      <c r="H64" s="537">
        <v>1094.2343869716838</v>
      </c>
      <c r="I64" s="537">
        <v>608.16704506554811</v>
      </c>
      <c r="J64" s="537">
        <v>777.98174599552181</v>
      </c>
      <c r="K64" s="537">
        <v>1272.9163586239004</v>
      </c>
      <c r="L64" s="537">
        <v>1046.8385653607245</v>
      </c>
      <c r="M64" s="537">
        <v>1417.900704746985</v>
      </c>
      <c r="N64" s="537">
        <v>927.71618844395402</v>
      </c>
      <c r="O64" s="537">
        <v>1666.2112931040842</v>
      </c>
      <c r="P64" s="537">
        <v>688.31914661777159</v>
      </c>
      <c r="Q64" s="537">
        <v>649.1948107917276</v>
      </c>
      <c r="R64" s="537">
        <v>562.36719205379904</v>
      </c>
      <c r="S64" s="537">
        <v>1355.7552348475926</v>
      </c>
      <c r="T64" s="537">
        <v>12067.602672623294</v>
      </c>
      <c r="U64" s="537" t="s">
        <v>58</v>
      </c>
    </row>
    <row r="65" spans="1:21" x14ac:dyDescent="0.2">
      <c r="A65" s="537" t="str">
        <f t="shared" si="0"/>
        <v>Moray.2010.Economic Impact.Day Visitor</v>
      </c>
      <c r="B65" s="537" t="s">
        <v>196</v>
      </c>
      <c r="C65" s="537" t="str">
        <f t="shared" si="1"/>
        <v>2010.Economic Impact.Day Visitor</v>
      </c>
      <c r="D65" s="537" t="s">
        <v>205</v>
      </c>
      <c r="E65" s="537" t="s">
        <v>18</v>
      </c>
      <c r="F65" s="537" t="s">
        <v>73</v>
      </c>
      <c r="G65" s="537" t="s">
        <v>73</v>
      </c>
      <c r="H65" s="537">
        <v>1013.0235256462961</v>
      </c>
      <c r="I65" s="537">
        <v>1219.4062947936627</v>
      </c>
      <c r="J65" s="537">
        <v>1726.3368028714899</v>
      </c>
      <c r="K65" s="537">
        <v>526.24569339029335</v>
      </c>
      <c r="L65" s="537">
        <v>1093.4648126250884</v>
      </c>
      <c r="M65" s="537">
        <v>884.33949966060788</v>
      </c>
      <c r="N65" s="537">
        <v>1264.5751954688042</v>
      </c>
      <c r="O65" s="537">
        <v>956.55687405741105</v>
      </c>
      <c r="P65" s="537">
        <v>355.91768801860007</v>
      </c>
      <c r="Q65" s="537">
        <v>683.87942304871171</v>
      </c>
      <c r="R65" s="537">
        <v>688.92883050304397</v>
      </c>
      <c r="S65" s="537">
        <v>397.16992493128743</v>
      </c>
      <c r="T65" s="537">
        <v>10809.844565015297</v>
      </c>
      <c r="U65" s="537" t="s">
        <v>58</v>
      </c>
    </row>
    <row r="66" spans="1:21" x14ac:dyDescent="0.2">
      <c r="A66" s="537" t="str">
        <f t="shared" si="0"/>
        <v>Moray.2010.Economic Impact.Accommodation</v>
      </c>
      <c r="B66" s="537" t="s">
        <v>196</v>
      </c>
      <c r="C66" s="537" t="str">
        <f t="shared" si="1"/>
        <v>2010.Economic Impact.Accommodation</v>
      </c>
      <c r="D66" s="537" t="s">
        <v>205</v>
      </c>
      <c r="E66" s="537" t="s">
        <v>18</v>
      </c>
      <c r="F66" s="537" t="s">
        <v>24</v>
      </c>
      <c r="G66" s="537" t="s">
        <v>24</v>
      </c>
      <c r="H66" s="537">
        <v>612.66081744715825</v>
      </c>
      <c r="I66" s="537">
        <v>598.74109926334802</v>
      </c>
      <c r="J66" s="537">
        <v>911.81668314979049</v>
      </c>
      <c r="K66" s="537">
        <v>1218.6071159480725</v>
      </c>
      <c r="L66" s="537">
        <v>1604.4501006380699</v>
      </c>
      <c r="M66" s="537">
        <v>1607.5637604374649</v>
      </c>
      <c r="N66" s="537">
        <v>2591.6616215830295</v>
      </c>
      <c r="O66" s="537">
        <v>2584.8915696246554</v>
      </c>
      <c r="P66" s="537">
        <v>1482.5047703129965</v>
      </c>
      <c r="Q66" s="537">
        <v>1303.923636214686</v>
      </c>
      <c r="R66" s="537">
        <v>648.93941685240554</v>
      </c>
      <c r="S66" s="537">
        <v>501.2104825184602</v>
      </c>
      <c r="T66" s="537">
        <v>15666.971073990137</v>
      </c>
      <c r="U66" s="537" t="s">
        <v>58</v>
      </c>
    </row>
    <row r="67" spans="1:21" x14ac:dyDescent="0.2">
      <c r="A67" s="537" t="str">
        <f t="shared" si="0"/>
        <v>Moray.2010.Economic Impact.Food &amp; Drink</v>
      </c>
      <c r="B67" s="537" t="s">
        <v>196</v>
      </c>
      <c r="C67" s="537" t="str">
        <f t="shared" si="1"/>
        <v>2010.Economic Impact.Food &amp; Drink</v>
      </c>
      <c r="D67" s="537" t="s">
        <v>205</v>
      </c>
      <c r="E67" s="537" t="s">
        <v>18</v>
      </c>
      <c r="F67" s="537" t="s">
        <v>50</v>
      </c>
      <c r="G67" s="537" t="s">
        <v>50</v>
      </c>
      <c r="H67" s="537">
        <v>903.37652316301944</v>
      </c>
      <c r="I67" s="537">
        <v>822.00384963442923</v>
      </c>
      <c r="J67" s="537">
        <v>1239.2281714550875</v>
      </c>
      <c r="K67" s="537">
        <v>945.17223621078745</v>
      </c>
      <c r="L67" s="537">
        <v>1194.8496549389504</v>
      </c>
      <c r="M67" s="537">
        <v>1224.2009437738284</v>
      </c>
      <c r="N67" s="537">
        <v>1282.2908119108022</v>
      </c>
      <c r="O67" s="537">
        <v>1371.7615644652294</v>
      </c>
      <c r="P67" s="537">
        <v>906.87349620351222</v>
      </c>
      <c r="Q67" s="537">
        <v>920.32408229878922</v>
      </c>
      <c r="R67" s="537">
        <v>600.84436928620482</v>
      </c>
      <c r="S67" s="537">
        <v>585.37582402202258</v>
      </c>
      <c r="T67" s="537">
        <v>11996.301527362666</v>
      </c>
      <c r="U67" s="537" t="s">
        <v>58</v>
      </c>
    </row>
    <row r="68" spans="1:21" x14ac:dyDescent="0.2">
      <c r="A68" s="537" t="str">
        <f t="shared" si="0"/>
        <v>Moray.2010.Economic Impact.Recreation</v>
      </c>
      <c r="B68" s="537" t="s">
        <v>196</v>
      </c>
      <c r="C68" s="537" t="str">
        <f t="shared" si="1"/>
        <v>2010.Economic Impact.Recreation</v>
      </c>
      <c r="D68" s="537" t="s">
        <v>205</v>
      </c>
      <c r="E68" s="537" t="s">
        <v>18</v>
      </c>
      <c r="F68" s="537" t="s">
        <v>51</v>
      </c>
      <c r="G68" s="537" t="s">
        <v>51</v>
      </c>
      <c r="H68" s="537">
        <v>378.75387520359715</v>
      </c>
      <c r="I68" s="537">
        <v>381.4799952839179</v>
      </c>
      <c r="J68" s="537">
        <v>553.79053039773555</v>
      </c>
      <c r="K68" s="537">
        <v>361.65023521322047</v>
      </c>
      <c r="L68" s="537">
        <v>455.87612057493584</v>
      </c>
      <c r="M68" s="537">
        <v>488.6786286599596</v>
      </c>
      <c r="N68" s="537">
        <v>594.35472446144411</v>
      </c>
      <c r="O68" s="537">
        <v>636.50808897800346</v>
      </c>
      <c r="P68" s="537">
        <v>405.99556902918869</v>
      </c>
      <c r="Q68" s="537">
        <v>439.9896378912876</v>
      </c>
      <c r="R68" s="537">
        <v>281.65924489683306</v>
      </c>
      <c r="S68" s="537">
        <v>241.82371580869733</v>
      </c>
      <c r="T68" s="537">
        <v>5220.5603663988204</v>
      </c>
      <c r="U68" s="537" t="s">
        <v>58</v>
      </c>
    </row>
    <row r="69" spans="1:21" x14ac:dyDescent="0.2">
      <c r="A69" s="537" t="str">
        <f t="shared" si="0"/>
        <v>Moray.2010.Economic Impact.Shopping</v>
      </c>
      <c r="B69" s="537" t="s">
        <v>196</v>
      </c>
      <c r="C69" s="537" t="str">
        <f t="shared" si="1"/>
        <v>2010.Economic Impact.Shopping</v>
      </c>
      <c r="D69" s="537" t="s">
        <v>205</v>
      </c>
      <c r="E69" s="537" t="s">
        <v>18</v>
      </c>
      <c r="F69" s="537" t="s">
        <v>52</v>
      </c>
      <c r="G69" s="537" t="s">
        <v>52</v>
      </c>
      <c r="H69" s="537">
        <v>484.5961298428337</v>
      </c>
      <c r="I69" s="537">
        <v>416.89328906523383</v>
      </c>
      <c r="J69" s="537">
        <v>619.98099224014345</v>
      </c>
      <c r="K69" s="537">
        <v>536.20998812080791</v>
      </c>
      <c r="L69" s="537">
        <v>695.61401678656716</v>
      </c>
      <c r="M69" s="537">
        <v>731.66624451180678</v>
      </c>
      <c r="N69" s="537">
        <v>877.20037378511824</v>
      </c>
      <c r="O69" s="537">
        <v>914.19716559638562</v>
      </c>
      <c r="P69" s="537">
        <v>577.36230378309074</v>
      </c>
      <c r="Q69" s="537">
        <v>548.99156556241371</v>
      </c>
      <c r="R69" s="537">
        <v>332.02096772894748</v>
      </c>
      <c r="S69" s="537">
        <v>383.20680392125712</v>
      </c>
      <c r="T69" s="537">
        <v>7117.9398409446057</v>
      </c>
      <c r="U69" s="537" t="s">
        <v>58</v>
      </c>
    </row>
    <row r="70" spans="1:21" x14ac:dyDescent="0.2">
      <c r="A70" s="537" t="str">
        <f t="shared" si="0"/>
        <v>Moray.2010.Economic Impact.Transport</v>
      </c>
      <c r="B70" s="537" t="s">
        <v>196</v>
      </c>
      <c r="C70" s="537" t="str">
        <f t="shared" si="1"/>
        <v>2010.Economic Impact.Transport</v>
      </c>
      <c r="D70" s="537" t="s">
        <v>205</v>
      </c>
      <c r="E70" s="537" t="s">
        <v>18</v>
      </c>
      <c r="F70" s="537" t="s">
        <v>53</v>
      </c>
      <c r="G70" s="537" t="s">
        <v>53</v>
      </c>
      <c r="H70" s="537">
        <v>841.18012700912459</v>
      </c>
      <c r="I70" s="537">
        <v>705.39993980806764</v>
      </c>
      <c r="J70" s="537">
        <v>1103.8570488967389</v>
      </c>
      <c r="K70" s="537">
        <v>1268.5366687822004</v>
      </c>
      <c r="L70" s="537">
        <v>1639.5765235196741</v>
      </c>
      <c r="M70" s="537">
        <v>1899.3698311026178</v>
      </c>
      <c r="N70" s="537">
        <v>1748.8966954521841</v>
      </c>
      <c r="O70" s="537">
        <v>1896.7162075685301</v>
      </c>
      <c r="P70" s="537">
        <v>1302.0737072340833</v>
      </c>
      <c r="Q70" s="537">
        <v>1173.8792701852774</v>
      </c>
      <c r="R70" s="537">
        <v>535.18108614997482</v>
      </c>
      <c r="S70" s="537">
        <v>557.45618078694235</v>
      </c>
      <c r="T70" s="537">
        <v>14672.123286495416</v>
      </c>
      <c r="U70" s="537" t="s">
        <v>58</v>
      </c>
    </row>
    <row r="71" spans="1:21" x14ac:dyDescent="0.2">
      <c r="A71" s="537" t="str">
        <f t="shared" si="0"/>
        <v>Moray.2010.Economic Impact.Direct Expenditure</v>
      </c>
      <c r="B71" s="537" t="s">
        <v>196</v>
      </c>
      <c r="C71" s="537" t="str">
        <f t="shared" si="1"/>
        <v>2010.Economic Impact.Direct Expenditure</v>
      </c>
      <c r="D71" s="537" t="s">
        <v>205</v>
      </c>
      <c r="E71" s="537" t="s">
        <v>18</v>
      </c>
      <c r="F71" s="537" t="s">
        <v>45</v>
      </c>
      <c r="G71" s="537" t="s">
        <v>45</v>
      </c>
      <c r="H71" s="537">
        <v>3784.1667803822365</v>
      </c>
      <c r="I71" s="537">
        <v>3436.3088533396212</v>
      </c>
      <c r="J71" s="537">
        <v>5203.691275713908</v>
      </c>
      <c r="K71" s="537">
        <v>5087.9570870232283</v>
      </c>
      <c r="L71" s="537">
        <v>6568.680539338382</v>
      </c>
      <c r="M71" s="537">
        <v>6992.9883049706696</v>
      </c>
      <c r="N71" s="537">
        <v>8335.9249669512792</v>
      </c>
      <c r="O71" s="537">
        <v>8699.7876505735439</v>
      </c>
      <c r="P71" s="537">
        <v>5492.9015697113737</v>
      </c>
      <c r="Q71" s="537">
        <v>5154.8521257791326</v>
      </c>
      <c r="R71" s="537">
        <v>2818.4079747743799</v>
      </c>
      <c r="S71" s="537">
        <v>2666.1607832924215</v>
      </c>
      <c r="T71" s="537">
        <v>64241.827911850181</v>
      </c>
      <c r="U71" s="537" t="s">
        <v>58</v>
      </c>
    </row>
    <row r="72" spans="1:21" x14ac:dyDescent="0.2">
      <c r="A72" s="537" t="str">
        <f t="shared" si="0"/>
        <v>Moray.2010.Population.Total</v>
      </c>
      <c r="B72" s="537" t="s">
        <v>196</v>
      </c>
      <c r="C72" s="537" t="str">
        <f t="shared" si="1"/>
        <v>2010.Population.Total</v>
      </c>
      <c r="D72" s="537" t="s">
        <v>205</v>
      </c>
      <c r="E72" s="537" t="s">
        <v>20</v>
      </c>
      <c r="F72" s="537" t="s">
        <v>55</v>
      </c>
      <c r="G72" s="537" t="s">
        <v>55</v>
      </c>
      <c r="H72" s="537">
        <v>87660</v>
      </c>
      <c r="I72" s="537">
        <v>87660</v>
      </c>
      <c r="J72" s="537">
        <v>87660</v>
      </c>
      <c r="K72" s="537">
        <v>87660</v>
      </c>
      <c r="L72" s="537">
        <v>87660</v>
      </c>
      <c r="M72" s="537">
        <v>87660</v>
      </c>
      <c r="N72" s="537">
        <v>87660</v>
      </c>
      <c r="O72" s="537">
        <v>87660</v>
      </c>
      <c r="P72" s="537">
        <v>87660</v>
      </c>
      <c r="Q72" s="537">
        <v>87660</v>
      </c>
      <c r="R72" s="537">
        <v>87660</v>
      </c>
      <c r="S72" s="537">
        <v>87660</v>
      </c>
      <c r="T72" s="537">
        <v>87660</v>
      </c>
      <c r="U72" s="537" t="s">
        <v>61</v>
      </c>
    </row>
    <row r="73" spans="1:21" x14ac:dyDescent="0.2">
      <c r="A73" s="537" t="str">
        <f t="shared" ref="A73:A136" si="2">B73&amp;"."&amp;D73&amp;"."&amp;E73&amp;"."&amp;F73</f>
        <v>Moray.2010.Employment.Serviced Accommodation</v>
      </c>
      <c r="B73" s="537" t="s">
        <v>196</v>
      </c>
      <c r="C73" s="537" t="str">
        <f t="shared" ref="C73:C136" si="3">D73&amp;"."&amp;E73&amp;"."&amp;F73</f>
        <v>2010.Employment.Serviced Accommodation</v>
      </c>
      <c r="D73" s="537" t="s">
        <v>205</v>
      </c>
      <c r="E73" s="537" t="s">
        <v>21</v>
      </c>
      <c r="F73" s="537" t="s">
        <v>44</v>
      </c>
      <c r="G73" s="537" t="s">
        <v>44</v>
      </c>
      <c r="H73" s="537">
        <v>1280.5662931549416</v>
      </c>
      <c r="I73" s="537">
        <v>1246.7330176726914</v>
      </c>
      <c r="J73" s="537">
        <v>1450.3666512324594</v>
      </c>
      <c r="K73" s="537">
        <v>1279.7585098510488</v>
      </c>
      <c r="L73" s="537">
        <v>1378.4085136832375</v>
      </c>
      <c r="M73" s="537">
        <v>1368.674065147753</v>
      </c>
      <c r="N73" s="537">
        <v>1481.8452930281828</v>
      </c>
      <c r="O73" s="537">
        <v>1451.5185358502772</v>
      </c>
      <c r="P73" s="537">
        <v>1383.9702682689742</v>
      </c>
      <c r="Q73" s="537">
        <v>1327.166952095153</v>
      </c>
      <c r="R73" s="537">
        <v>1169.4166260062739</v>
      </c>
      <c r="S73" s="537">
        <v>1079.365092312627</v>
      </c>
      <c r="T73" s="537">
        <v>1324.8158181919682</v>
      </c>
      <c r="U73" s="537" t="s">
        <v>60</v>
      </c>
    </row>
    <row r="74" spans="1:21" x14ac:dyDescent="0.2">
      <c r="A74" s="537" t="str">
        <f t="shared" si="2"/>
        <v>Moray.2010.Employment.Non-Serviced Accommodation</v>
      </c>
      <c r="B74" s="537" t="s">
        <v>196</v>
      </c>
      <c r="C74" s="537" t="str">
        <f t="shared" si="3"/>
        <v>2010.Employment.Non-Serviced Accommodation</v>
      </c>
      <c r="D74" s="537" t="s">
        <v>205</v>
      </c>
      <c r="E74" s="537" t="s">
        <v>21</v>
      </c>
      <c r="F74" s="537" t="s">
        <v>49</v>
      </c>
      <c r="G74" s="537" t="s">
        <v>49</v>
      </c>
      <c r="H74" s="537">
        <v>383.25522052112223</v>
      </c>
      <c r="I74" s="537">
        <v>385.8291971883217</v>
      </c>
      <c r="J74" s="537">
        <v>410.3389632614269</v>
      </c>
      <c r="K74" s="537">
        <v>632.24247534779636</v>
      </c>
      <c r="L74" s="537">
        <v>725.03120553719327</v>
      </c>
      <c r="M74" s="537">
        <v>803.1649501530153</v>
      </c>
      <c r="N74" s="537">
        <v>763.86066900212199</v>
      </c>
      <c r="O74" s="537">
        <v>802.92009930914423</v>
      </c>
      <c r="P74" s="537">
        <v>699.38724998695886</v>
      </c>
      <c r="Q74" s="537">
        <v>664.84027679654173</v>
      </c>
      <c r="R74" s="537">
        <v>411.77834104842907</v>
      </c>
      <c r="S74" s="537">
        <v>400.8427204809214</v>
      </c>
      <c r="T74" s="537">
        <v>590.29094738608262</v>
      </c>
      <c r="U74" s="537" t="s">
        <v>60</v>
      </c>
    </row>
    <row r="75" spans="1:21" x14ac:dyDescent="0.2">
      <c r="A75" s="537" t="str">
        <f t="shared" si="2"/>
        <v>Moray.2010.Employment.SFR</v>
      </c>
      <c r="B75" s="537" t="s">
        <v>196</v>
      </c>
      <c r="C75" s="537" t="str">
        <f t="shared" si="3"/>
        <v>2010.Employment.SFR</v>
      </c>
      <c r="D75" s="537" t="s">
        <v>205</v>
      </c>
      <c r="E75" s="537" t="s">
        <v>21</v>
      </c>
      <c r="F75" s="537" t="s">
        <v>19</v>
      </c>
      <c r="G75" s="537" t="s">
        <v>19</v>
      </c>
      <c r="H75" s="537">
        <v>198.7154291179011</v>
      </c>
      <c r="I75" s="537">
        <v>110.44450510281179</v>
      </c>
      <c r="J75" s="537">
        <v>141.28323724978554</v>
      </c>
      <c r="K75" s="537">
        <v>231.96704024121846</v>
      </c>
      <c r="L75" s="537">
        <v>190.76826373698793</v>
      </c>
      <c r="M75" s="537">
        <v>258.38793539558515</v>
      </c>
      <c r="N75" s="537">
        <v>169.02040814819026</v>
      </c>
      <c r="O75" s="537">
        <v>303.56666869631744</v>
      </c>
      <c r="P75" s="537">
        <v>125.40471379796149</v>
      </c>
      <c r="Q75" s="537">
        <v>117.76927265795226</v>
      </c>
      <c r="R75" s="537">
        <v>102.01802921699324</v>
      </c>
      <c r="S75" s="537">
        <v>245.94513889519649</v>
      </c>
      <c r="T75" s="537">
        <v>182.94088685474176</v>
      </c>
      <c r="U75" s="537" t="s">
        <v>60</v>
      </c>
    </row>
    <row r="76" spans="1:21" x14ac:dyDescent="0.2">
      <c r="A76" s="537" t="str">
        <f t="shared" si="2"/>
        <v>Moray.2010.Employment.Day Visitor</v>
      </c>
      <c r="B76" s="537" t="s">
        <v>196</v>
      </c>
      <c r="C76" s="537" t="str">
        <f t="shared" si="3"/>
        <v>2010.Employment.Day Visitor</v>
      </c>
      <c r="D76" s="537" t="s">
        <v>205</v>
      </c>
      <c r="E76" s="537" t="s">
        <v>21</v>
      </c>
      <c r="F76" s="537" t="s">
        <v>73</v>
      </c>
      <c r="G76" s="537" t="s">
        <v>73</v>
      </c>
      <c r="H76" s="537">
        <v>185.67458824641261</v>
      </c>
      <c r="I76" s="537">
        <v>223.50197794907922</v>
      </c>
      <c r="J76" s="537">
        <v>316.41602285918657</v>
      </c>
      <c r="K76" s="537">
        <v>95.342767279316945</v>
      </c>
      <c r="L76" s="537">
        <v>198.1089108522454</v>
      </c>
      <c r="M76" s="537">
        <v>160.22055129582958</v>
      </c>
      <c r="N76" s="537">
        <v>227.70878901192287</v>
      </c>
      <c r="O76" s="537">
        <v>172.2447254960544</v>
      </c>
      <c r="P76" s="537">
        <v>64.089178735309233</v>
      </c>
      <c r="Q76" s="537">
        <v>125.34657593835519</v>
      </c>
      <c r="R76" s="537">
        <v>126.27206940048713</v>
      </c>
      <c r="S76" s="537">
        <v>72.796297823811571</v>
      </c>
      <c r="T76" s="537">
        <v>163.97687124066758</v>
      </c>
      <c r="U76" s="537" t="s">
        <v>60</v>
      </c>
    </row>
    <row r="77" spans="1:21" x14ac:dyDescent="0.2">
      <c r="A77" s="537" t="str">
        <f t="shared" si="2"/>
        <v>Moray.2010.Employment.Direct Employment</v>
      </c>
      <c r="B77" s="537" t="s">
        <v>196</v>
      </c>
      <c r="C77" s="537" t="str">
        <f t="shared" si="3"/>
        <v>2010.Employment.Direct Employment</v>
      </c>
      <c r="D77" s="537" t="s">
        <v>205</v>
      </c>
      <c r="E77" s="537" t="s">
        <v>21</v>
      </c>
      <c r="F77" s="537" t="s">
        <v>56</v>
      </c>
      <c r="G77" s="537" t="s">
        <v>56</v>
      </c>
      <c r="H77" s="537">
        <v>2048.2115310403774</v>
      </c>
      <c r="I77" s="537">
        <v>1966.5086979129042</v>
      </c>
      <c r="J77" s="537">
        <v>2318.4048746028584</v>
      </c>
      <c r="K77" s="537">
        <v>2239.3107927193805</v>
      </c>
      <c r="L77" s="537">
        <v>2492.3168938096642</v>
      </c>
      <c r="M77" s="537">
        <v>2590.4475019921833</v>
      </c>
      <c r="N77" s="537">
        <v>2642.4351591904178</v>
      </c>
      <c r="O77" s="537">
        <v>2730.2500293517928</v>
      </c>
      <c r="P77" s="537">
        <v>2272.8514107892038</v>
      </c>
      <c r="Q77" s="537">
        <v>2235.1230774880023</v>
      </c>
      <c r="R77" s="537">
        <v>1809.4850656721833</v>
      </c>
      <c r="S77" s="537">
        <v>1798.9492495125564</v>
      </c>
      <c r="T77" s="537">
        <v>2262.0245236734604</v>
      </c>
      <c r="U77" s="537" t="s">
        <v>60</v>
      </c>
    </row>
    <row r="78" spans="1:21" x14ac:dyDescent="0.2">
      <c r="A78" s="537" t="str">
        <f t="shared" si="2"/>
        <v>Moray.2010.Employment.Indirect Employment</v>
      </c>
      <c r="B78" s="537" t="s">
        <v>196</v>
      </c>
      <c r="C78" s="537" t="str">
        <f t="shared" si="3"/>
        <v>2010.Employment.Indirect Employment</v>
      </c>
      <c r="D78" s="537" t="s">
        <v>205</v>
      </c>
      <c r="E78" s="537" t="s">
        <v>21</v>
      </c>
      <c r="F78" s="537" t="s">
        <v>54</v>
      </c>
      <c r="G78" s="537" t="s">
        <v>54</v>
      </c>
      <c r="H78" s="537">
        <v>280.02309499979884</v>
      </c>
      <c r="I78" s="537">
        <v>258.43389072164194</v>
      </c>
      <c r="J78" s="537">
        <v>384.70377995044998</v>
      </c>
      <c r="K78" s="537">
        <v>393.3066698955264</v>
      </c>
      <c r="L78" s="537">
        <v>505.87575850494369</v>
      </c>
      <c r="M78" s="537">
        <v>540.27044405356355</v>
      </c>
      <c r="N78" s="537">
        <v>636.12713468946515</v>
      </c>
      <c r="O78" s="537">
        <v>667.15891395108963</v>
      </c>
      <c r="P78" s="537">
        <v>419.85013344532814</v>
      </c>
      <c r="Q78" s="537">
        <v>400.19162097971707</v>
      </c>
      <c r="R78" s="537">
        <v>214.80861998058296</v>
      </c>
      <c r="S78" s="537">
        <v>205.69778114536973</v>
      </c>
      <c r="T78" s="537">
        <v>408.87065352645641</v>
      </c>
      <c r="U78" s="537" t="s">
        <v>60</v>
      </c>
    </row>
    <row r="79" spans="1:21" x14ac:dyDescent="0.2">
      <c r="A79" s="537" t="str">
        <f t="shared" si="2"/>
        <v>Moray.2010.Employment.Total</v>
      </c>
      <c r="B79" s="537" t="s">
        <v>196</v>
      </c>
      <c r="C79" s="537" t="str">
        <f t="shared" si="3"/>
        <v>2010.Employment.Total</v>
      </c>
      <c r="D79" s="537" t="s">
        <v>205</v>
      </c>
      <c r="E79" s="537" t="s">
        <v>21</v>
      </c>
      <c r="F79" s="537" t="s">
        <v>55</v>
      </c>
      <c r="G79" s="537" t="s">
        <v>55</v>
      </c>
      <c r="H79" s="537">
        <v>2328.2346260401764</v>
      </c>
      <c r="I79" s="537">
        <v>2224.9425886345462</v>
      </c>
      <c r="J79" s="537">
        <v>2703.1086545533085</v>
      </c>
      <c r="K79" s="537">
        <v>2632.6174626149068</v>
      </c>
      <c r="L79" s="537">
        <v>2998.192652314608</v>
      </c>
      <c r="M79" s="537">
        <v>3130.7179460457469</v>
      </c>
      <c r="N79" s="537">
        <v>3278.5622938798829</v>
      </c>
      <c r="O79" s="537">
        <v>3397.4089433028826</v>
      </c>
      <c r="P79" s="537">
        <v>2692.7015442345319</v>
      </c>
      <c r="Q79" s="537">
        <v>2635.3146984677196</v>
      </c>
      <c r="R79" s="537">
        <v>2024.2936856527663</v>
      </c>
      <c r="S79" s="537">
        <v>2004.6470306579263</v>
      </c>
      <c r="T79" s="537">
        <v>2670.8951771999168</v>
      </c>
      <c r="U79" s="537" t="s">
        <v>60</v>
      </c>
    </row>
    <row r="80" spans="1:21" x14ac:dyDescent="0.2">
      <c r="A80" s="537" t="str">
        <f t="shared" si="2"/>
        <v>Moray.2010.Employment.Accommodation</v>
      </c>
      <c r="B80" s="537" t="s">
        <v>196</v>
      </c>
      <c r="C80" s="537" t="str">
        <f t="shared" si="3"/>
        <v>2010.Employment.Accommodation</v>
      </c>
      <c r="D80" s="537" t="s">
        <v>205</v>
      </c>
      <c r="E80" s="537" t="s">
        <v>21</v>
      </c>
      <c r="F80" s="537" t="s">
        <v>24</v>
      </c>
      <c r="G80" s="537" t="s">
        <v>24</v>
      </c>
      <c r="H80" s="537">
        <v>1310.6250186297198</v>
      </c>
      <c r="I80" s="537">
        <v>1306.7410857595087</v>
      </c>
      <c r="J80" s="537">
        <v>1322.1666229089265</v>
      </c>
      <c r="K80" s="537">
        <v>1369.8211806766283</v>
      </c>
      <c r="L80" s="537">
        <v>1379.2003198294242</v>
      </c>
      <c r="M80" s="537">
        <v>1381.8</v>
      </c>
      <c r="N80" s="537">
        <v>1381.8</v>
      </c>
      <c r="O80" s="537">
        <v>1381.8</v>
      </c>
      <c r="P80" s="537">
        <v>1381.2003198294242</v>
      </c>
      <c r="Q80" s="537">
        <v>1370.413957663724</v>
      </c>
      <c r="R80" s="537">
        <v>1313.5193988643143</v>
      </c>
      <c r="S80" s="537">
        <v>1298.9893994941924</v>
      </c>
      <c r="T80" s="537">
        <v>1349.8397753046552</v>
      </c>
      <c r="U80" s="537" t="s">
        <v>60</v>
      </c>
    </row>
    <row r="81" spans="1:21" x14ac:dyDescent="0.2">
      <c r="A81" s="537" t="str">
        <f t="shared" si="2"/>
        <v>Moray.2010.Employment.Food &amp; Drink</v>
      </c>
      <c r="B81" s="537" t="s">
        <v>196</v>
      </c>
      <c r="C81" s="537" t="str">
        <f t="shared" si="3"/>
        <v>2010.Employment.Food &amp; Drink</v>
      </c>
      <c r="D81" s="537" t="s">
        <v>205</v>
      </c>
      <c r="E81" s="537" t="s">
        <v>21</v>
      </c>
      <c r="F81" s="537" t="s">
        <v>50</v>
      </c>
      <c r="G81" s="537" t="s">
        <v>50</v>
      </c>
      <c r="H81" s="537">
        <v>269.941696402091</v>
      </c>
      <c r="I81" s="537">
        <v>245.6263893624843</v>
      </c>
      <c r="J81" s="537">
        <v>370.29892437384234</v>
      </c>
      <c r="K81" s="537">
        <v>282.43084726351259</v>
      </c>
      <c r="L81" s="537">
        <v>357.03799526509192</v>
      </c>
      <c r="M81" s="537">
        <v>365.80857596596422</v>
      </c>
      <c r="N81" s="537">
        <v>383.16665108370643</v>
      </c>
      <c r="O81" s="537">
        <v>409.90177880027591</v>
      </c>
      <c r="P81" s="537">
        <v>270.98664146167459</v>
      </c>
      <c r="Q81" s="537">
        <v>275.00586703934243</v>
      </c>
      <c r="R81" s="537">
        <v>179.54080514608847</v>
      </c>
      <c r="S81" s="537">
        <v>174.91858479563513</v>
      </c>
      <c r="T81" s="537">
        <v>298.72206307997573</v>
      </c>
      <c r="U81" s="537" t="s">
        <v>60</v>
      </c>
    </row>
    <row r="82" spans="1:21" x14ac:dyDescent="0.2">
      <c r="A82" s="537" t="str">
        <f t="shared" si="2"/>
        <v>Moray.2010.Employment.Recreation</v>
      </c>
      <c r="B82" s="537" t="s">
        <v>196</v>
      </c>
      <c r="C82" s="537" t="str">
        <f t="shared" si="3"/>
        <v>2010.Employment.Recreation</v>
      </c>
      <c r="D82" s="537" t="s">
        <v>205</v>
      </c>
      <c r="E82" s="537" t="s">
        <v>21</v>
      </c>
      <c r="F82" s="537" t="s">
        <v>51</v>
      </c>
      <c r="G82" s="537" t="s">
        <v>51</v>
      </c>
      <c r="H82" s="537">
        <v>112.42115288292715</v>
      </c>
      <c r="I82" s="537">
        <v>113.23031572558378</v>
      </c>
      <c r="J82" s="537">
        <v>164.37526837050791</v>
      </c>
      <c r="K82" s="537">
        <v>107.34447630719816</v>
      </c>
      <c r="L82" s="537">
        <v>135.31246121054568</v>
      </c>
      <c r="M82" s="537">
        <v>145.04885209073828</v>
      </c>
      <c r="N82" s="537">
        <v>176.4154711537997</v>
      </c>
      <c r="O82" s="537">
        <v>188.92736910942719</v>
      </c>
      <c r="P82" s="537">
        <v>120.5069912778755</v>
      </c>
      <c r="Q82" s="537">
        <v>130.59705942728905</v>
      </c>
      <c r="R82" s="537">
        <v>83.601671440102436</v>
      </c>
      <c r="S82" s="537">
        <v>71.777749893735987</v>
      </c>
      <c r="T82" s="537">
        <v>129.12990324081088</v>
      </c>
      <c r="U82" s="537" t="s">
        <v>60</v>
      </c>
    </row>
    <row r="83" spans="1:21" x14ac:dyDescent="0.2">
      <c r="A83" s="537" t="str">
        <f t="shared" si="2"/>
        <v>Moray.2010.Employment.Shopping</v>
      </c>
      <c r="B83" s="537" t="s">
        <v>196</v>
      </c>
      <c r="C83" s="537" t="str">
        <f t="shared" si="3"/>
        <v>2010.Employment.Shopping</v>
      </c>
      <c r="D83" s="537" t="s">
        <v>205</v>
      </c>
      <c r="E83" s="537" t="s">
        <v>21</v>
      </c>
      <c r="F83" s="537" t="s">
        <v>52</v>
      </c>
      <c r="G83" s="537" t="s">
        <v>52</v>
      </c>
      <c r="H83" s="537">
        <v>139.41159419209154</v>
      </c>
      <c r="I83" s="537">
        <v>119.93442468353665</v>
      </c>
      <c r="J83" s="537">
        <v>178.35994382585204</v>
      </c>
      <c r="K83" s="537">
        <v>154.26018629139443</v>
      </c>
      <c r="L83" s="537">
        <v>200.11851736007782</v>
      </c>
      <c r="M83" s="537">
        <v>210.49024390065517</v>
      </c>
      <c r="N83" s="537">
        <v>252.35839703248175</v>
      </c>
      <c r="O83" s="537">
        <v>263.00186157701802</v>
      </c>
      <c r="P83" s="537">
        <v>166.09913748779732</v>
      </c>
      <c r="Q83" s="537">
        <v>157.93726907784148</v>
      </c>
      <c r="R83" s="537">
        <v>95.517833440613174</v>
      </c>
      <c r="S83" s="537">
        <v>110.24328951460099</v>
      </c>
      <c r="T83" s="537">
        <v>170.64439153199669</v>
      </c>
      <c r="U83" s="537" t="s">
        <v>60</v>
      </c>
    </row>
    <row r="84" spans="1:21" x14ac:dyDescent="0.2">
      <c r="A84" s="537" t="str">
        <f t="shared" si="2"/>
        <v>Moray.2010.Employment.Transport</v>
      </c>
      <c r="B84" s="537" t="s">
        <v>196</v>
      </c>
      <c r="C84" s="537" t="str">
        <f t="shared" si="3"/>
        <v>2010.Employment.Transport</v>
      </c>
      <c r="D84" s="537" t="s">
        <v>205</v>
      </c>
      <c r="E84" s="537" t="s">
        <v>21</v>
      </c>
      <c r="F84" s="537" t="s">
        <v>53</v>
      </c>
      <c r="G84" s="537" t="s">
        <v>53</v>
      </c>
      <c r="H84" s="537">
        <v>215.81206893354786</v>
      </c>
      <c r="I84" s="537">
        <v>180.97648238179059</v>
      </c>
      <c r="J84" s="537">
        <v>283.20411512372976</v>
      </c>
      <c r="K84" s="537">
        <v>325.45410218064717</v>
      </c>
      <c r="L84" s="537">
        <v>420.64760014452463</v>
      </c>
      <c r="M84" s="537">
        <v>487.2998300348255</v>
      </c>
      <c r="N84" s="537">
        <v>448.69463992043012</v>
      </c>
      <c r="O84" s="537">
        <v>486.61901986507212</v>
      </c>
      <c r="P84" s="537">
        <v>334.05832073243221</v>
      </c>
      <c r="Q84" s="537">
        <v>301.1689242798052</v>
      </c>
      <c r="R84" s="537">
        <v>137.30535678106494</v>
      </c>
      <c r="S84" s="537">
        <v>143.02022581439198</v>
      </c>
      <c r="T84" s="537">
        <v>313.6883905160218</v>
      </c>
      <c r="U84" s="537" t="s">
        <v>60</v>
      </c>
    </row>
    <row r="85" spans="1:21" x14ac:dyDescent="0.2">
      <c r="A85" s="537" t="str">
        <f t="shared" si="2"/>
        <v>Moray.2010.Visitor Days.Serviced Accommodation</v>
      </c>
      <c r="B85" s="537" t="s">
        <v>196</v>
      </c>
      <c r="C85" s="537" t="str">
        <f t="shared" si="3"/>
        <v>2010.Visitor Days.Serviced Accommodation</v>
      </c>
      <c r="D85" s="537" t="s">
        <v>205</v>
      </c>
      <c r="E85" s="537" t="s">
        <v>175</v>
      </c>
      <c r="F85" s="537" t="s">
        <v>44</v>
      </c>
      <c r="G85" s="537" t="s">
        <v>44</v>
      </c>
      <c r="H85" s="537">
        <v>19.302214572713808</v>
      </c>
      <c r="I85" s="537">
        <v>17.933271277949299</v>
      </c>
      <c r="J85" s="537">
        <v>28.211581418769363</v>
      </c>
      <c r="K85" s="537">
        <v>30.702696320758903</v>
      </c>
      <c r="L85" s="537">
        <v>43.417166363579398</v>
      </c>
      <c r="M85" s="537">
        <v>42.100217112160536</v>
      </c>
      <c r="N85" s="537">
        <v>48.410140179271338</v>
      </c>
      <c r="O85" s="537">
        <v>47.70442213837709</v>
      </c>
      <c r="P85" s="537">
        <v>39.421060330953232</v>
      </c>
      <c r="Q85" s="537">
        <v>34.515948468771548</v>
      </c>
      <c r="R85" s="537">
        <v>19.117220592807829</v>
      </c>
      <c r="S85" s="537">
        <v>15.25196555295463</v>
      </c>
      <c r="T85" s="537">
        <v>386.08790432906704</v>
      </c>
      <c r="U85" s="537" t="s">
        <v>62</v>
      </c>
    </row>
    <row r="86" spans="1:21" x14ac:dyDescent="0.2">
      <c r="A86" s="537" t="str">
        <f t="shared" si="2"/>
        <v>Moray.2010.Visitor Days.Non-Serviced Accommodation</v>
      </c>
      <c r="B86" s="537" t="s">
        <v>196</v>
      </c>
      <c r="C86" s="537" t="str">
        <f t="shared" si="3"/>
        <v>2010.Visitor Days.Non-Serviced Accommodation</v>
      </c>
      <c r="D86" s="537" t="s">
        <v>205</v>
      </c>
      <c r="E86" s="537" t="s">
        <v>175</v>
      </c>
      <c r="F86" s="537" t="s">
        <v>49</v>
      </c>
      <c r="G86" s="537" t="s">
        <v>49</v>
      </c>
      <c r="H86" s="537">
        <v>12.113576863919693</v>
      </c>
      <c r="I86" s="537">
        <v>14.37237344730867</v>
      </c>
      <c r="J86" s="537">
        <v>18.386559560215527</v>
      </c>
      <c r="K86" s="537">
        <v>55.882428115572807</v>
      </c>
      <c r="L86" s="537">
        <v>72.247130471376209</v>
      </c>
      <c r="M86" s="537">
        <v>83.882451584663954</v>
      </c>
      <c r="N86" s="537">
        <v>86.416291833376079</v>
      </c>
      <c r="O86" s="537">
        <v>94.386199864682396</v>
      </c>
      <c r="P86" s="537">
        <v>71.715375409538552</v>
      </c>
      <c r="Q86" s="537">
        <v>55.821774177903414</v>
      </c>
      <c r="R86" s="537">
        <v>16.111828764551259</v>
      </c>
      <c r="S86" s="537">
        <v>13.732254839967084</v>
      </c>
      <c r="T86" s="537">
        <v>595.06824493307568</v>
      </c>
      <c r="U86" s="537" t="s">
        <v>62</v>
      </c>
    </row>
    <row r="87" spans="1:21" x14ac:dyDescent="0.2">
      <c r="A87" s="537" t="str">
        <f t="shared" si="2"/>
        <v>Moray.2010.Visitor Days.SFR</v>
      </c>
      <c r="B87" s="537" t="s">
        <v>196</v>
      </c>
      <c r="C87" s="537" t="str">
        <f t="shared" si="3"/>
        <v>2010.Visitor Days.SFR</v>
      </c>
      <c r="D87" s="537" t="s">
        <v>205</v>
      </c>
      <c r="E87" s="537" t="s">
        <v>175</v>
      </c>
      <c r="F87" s="537" t="s">
        <v>19</v>
      </c>
      <c r="G87" s="537" t="s">
        <v>19</v>
      </c>
      <c r="H87" s="537">
        <v>35.948105096483438</v>
      </c>
      <c r="I87" s="537">
        <v>19.979679959372216</v>
      </c>
      <c r="J87" s="537">
        <v>25.558481712123726</v>
      </c>
      <c r="K87" s="537">
        <v>42.560169018810207</v>
      </c>
      <c r="L87" s="537">
        <v>35.001220602841805</v>
      </c>
      <c r="M87" s="537">
        <v>47.407744615018984</v>
      </c>
      <c r="N87" s="537">
        <v>49.515570643366132</v>
      </c>
      <c r="O87" s="537">
        <v>88.931727200806506</v>
      </c>
      <c r="P87" s="537">
        <v>36.738084075798987</v>
      </c>
      <c r="Q87" s="537">
        <v>31.213503148118811</v>
      </c>
      <c r="R87" s="537">
        <v>27.038802263626575</v>
      </c>
      <c r="S87" s="537">
        <v>65.185164125672841</v>
      </c>
      <c r="T87" s="537">
        <v>505.07825246204021</v>
      </c>
      <c r="U87" s="537" t="s">
        <v>62</v>
      </c>
    </row>
    <row r="88" spans="1:21" x14ac:dyDescent="0.2">
      <c r="A88" s="537" t="str">
        <f t="shared" si="2"/>
        <v>Moray.2010.Visitor Days.Day Visitor</v>
      </c>
      <c r="B88" s="537" t="s">
        <v>196</v>
      </c>
      <c r="C88" s="537" t="str">
        <f t="shared" si="3"/>
        <v>2010.Visitor Days.Day Visitor</v>
      </c>
      <c r="D88" s="537" t="s">
        <v>205</v>
      </c>
      <c r="E88" s="537" t="s">
        <v>175</v>
      </c>
      <c r="F88" s="537" t="s">
        <v>73</v>
      </c>
      <c r="G88" s="537" t="s">
        <v>73</v>
      </c>
      <c r="H88" s="537">
        <v>20.355916112936534</v>
      </c>
      <c r="I88" s="537">
        <v>24.503016579570893</v>
      </c>
      <c r="J88" s="537">
        <v>34.68938899470028</v>
      </c>
      <c r="K88" s="537">
        <v>15.101350708115367</v>
      </c>
      <c r="L88" s="537">
        <v>31.378490750304913</v>
      </c>
      <c r="M88" s="537">
        <v>25.377349586231194</v>
      </c>
      <c r="N88" s="537">
        <v>30.350068488476754</v>
      </c>
      <c r="O88" s="537">
        <v>22.957564520315504</v>
      </c>
      <c r="P88" s="537">
        <v>8.542098758801167</v>
      </c>
      <c r="Q88" s="537">
        <v>13.742022583396171</v>
      </c>
      <c r="R88" s="537">
        <v>13.843486480293183</v>
      </c>
      <c r="S88" s="537">
        <v>7.9808192700407563</v>
      </c>
      <c r="T88" s="537">
        <v>248.82157283318273</v>
      </c>
      <c r="U88" s="537" t="s">
        <v>62</v>
      </c>
    </row>
    <row r="89" spans="1:21" x14ac:dyDescent="0.2">
      <c r="A89" s="537" t="str">
        <f t="shared" si="2"/>
        <v>Moray.2010.Visitor Days.Total</v>
      </c>
      <c r="B89" s="537" t="s">
        <v>196</v>
      </c>
      <c r="C89" s="537" t="str">
        <f t="shared" si="3"/>
        <v>2010.Visitor Days.Total</v>
      </c>
      <c r="D89" s="537" t="s">
        <v>205</v>
      </c>
      <c r="E89" s="537" t="s">
        <v>175</v>
      </c>
      <c r="F89" s="537" t="s">
        <v>55</v>
      </c>
      <c r="G89" s="537" t="s">
        <v>55</v>
      </c>
      <c r="H89" s="537">
        <v>87.71981264605347</v>
      </c>
      <c r="I89" s="537">
        <v>76.78834126420108</v>
      </c>
      <c r="J89" s="537">
        <v>106.84601168580889</v>
      </c>
      <c r="K89" s="537">
        <v>144.24664416325729</v>
      </c>
      <c r="L89" s="537">
        <v>182.04400818810231</v>
      </c>
      <c r="M89" s="537">
        <v>198.76776289807466</v>
      </c>
      <c r="N89" s="537">
        <v>214.69207114449031</v>
      </c>
      <c r="O89" s="537">
        <v>253.9799137241815</v>
      </c>
      <c r="P89" s="537">
        <v>156.41661857509192</v>
      </c>
      <c r="Q89" s="537">
        <v>135.29324837818993</v>
      </c>
      <c r="R89" s="537">
        <v>76.111338101278847</v>
      </c>
      <c r="S89" s="537">
        <v>102.15020378863531</v>
      </c>
      <c r="T89" s="537">
        <v>1735.0559745573655</v>
      </c>
      <c r="U89" s="537" t="s">
        <v>62</v>
      </c>
    </row>
    <row r="90" spans="1:21" x14ac:dyDescent="0.2">
      <c r="A90" s="537" t="str">
        <f t="shared" si="2"/>
        <v>Moray.2010.Visitor Numbers.Serviced Accommodation</v>
      </c>
      <c r="B90" s="537" t="s">
        <v>196</v>
      </c>
      <c r="C90" s="537" t="str">
        <f t="shared" si="3"/>
        <v>2010.Visitor Numbers.Serviced Accommodation</v>
      </c>
      <c r="D90" s="537" t="s">
        <v>205</v>
      </c>
      <c r="E90" s="537" t="s">
        <v>176</v>
      </c>
      <c r="F90" s="537" t="s">
        <v>44</v>
      </c>
      <c r="G90" s="537" t="s">
        <v>44</v>
      </c>
      <c r="H90" s="537">
        <v>8.2141934816121047</v>
      </c>
      <c r="I90" s="537">
        <v>9.6247203911620964</v>
      </c>
      <c r="J90" s="537">
        <v>14.238419801891535</v>
      </c>
      <c r="K90" s="537">
        <v>15.938338599730514</v>
      </c>
      <c r="L90" s="537">
        <v>22.75729803356824</v>
      </c>
      <c r="M90" s="537">
        <v>21.339015931207292</v>
      </c>
      <c r="N90" s="537">
        <v>24.676851690455152</v>
      </c>
      <c r="O90" s="537">
        <v>25.029575004780064</v>
      </c>
      <c r="P90" s="537">
        <v>22.199668483741164</v>
      </c>
      <c r="Q90" s="537">
        <v>17.496046980750279</v>
      </c>
      <c r="R90" s="537">
        <v>10.127441815388693</v>
      </c>
      <c r="S90" s="537">
        <v>6.695054609916971</v>
      </c>
      <c r="T90" s="537">
        <v>198.33662482420411</v>
      </c>
      <c r="U90" s="537" t="s">
        <v>62</v>
      </c>
    </row>
    <row r="91" spans="1:21" x14ac:dyDescent="0.2">
      <c r="A91" s="537" t="str">
        <f t="shared" si="2"/>
        <v>Moray.2010.Visitor Numbers.Non-Serviced Accommodation</v>
      </c>
      <c r="B91" s="537" t="s">
        <v>196</v>
      </c>
      <c r="C91" s="537" t="str">
        <f t="shared" si="3"/>
        <v>2010.Visitor Numbers.Non-Serviced Accommodation</v>
      </c>
      <c r="D91" s="537" t="s">
        <v>205</v>
      </c>
      <c r="E91" s="537" t="s">
        <v>176</v>
      </c>
      <c r="F91" s="537" t="s">
        <v>49</v>
      </c>
      <c r="G91" s="537" t="s">
        <v>49</v>
      </c>
      <c r="H91" s="537">
        <v>1.6604661994917957</v>
      </c>
      <c r="I91" s="537">
        <v>2.1016409283499393</v>
      </c>
      <c r="J91" s="537">
        <v>2.9600083651468836</v>
      </c>
      <c r="K91" s="537">
        <v>7.7909623352644166</v>
      </c>
      <c r="L91" s="537">
        <v>10.648466164390516</v>
      </c>
      <c r="M91" s="537">
        <v>10.885370619548496</v>
      </c>
      <c r="N91" s="537">
        <v>10.820234396032937</v>
      </c>
      <c r="O91" s="537">
        <v>11.217757542390299</v>
      </c>
      <c r="P91" s="537">
        <v>8.5186312106607733</v>
      </c>
      <c r="Q91" s="537">
        <v>7.6292850340968084</v>
      </c>
      <c r="R91" s="537">
        <v>2.2686626732433841</v>
      </c>
      <c r="S91" s="537">
        <v>1.471633822929179</v>
      </c>
      <c r="T91" s="537">
        <v>77.97311929154543</v>
      </c>
      <c r="U91" s="537" t="s">
        <v>62</v>
      </c>
    </row>
    <row r="92" spans="1:21" x14ac:dyDescent="0.2">
      <c r="A92" s="537" t="str">
        <f t="shared" si="2"/>
        <v>Moray.2010.Visitor Numbers.SFR</v>
      </c>
      <c r="B92" s="537" t="s">
        <v>196</v>
      </c>
      <c r="C92" s="537" t="str">
        <f t="shared" si="3"/>
        <v>2010.Visitor Numbers.SFR</v>
      </c>
      <c r="D92" s="537" t="s">
        <v>205</v>
      </c>
      <c r="E92" s="537" t="s">
        <v>176</v>
      </c>
      <c r="F92" s="537" t="s">
        <v>19</v>
      </c>
      <c r="G92" s="537" t="s">
        <v>19</v>
      </c>
      <c r="H92" s="537">
        <v>9.5353063916401695</v>
      </c>
      <c r="I92" s="537">
        <v>5.7912115824267287</v>
      </c>
      <c r="J92" s="537">
        <v>7.6066909857511096</v>
      </c>
      <c r="K92" s="537">
        <v>10.829559546771044</v>
      </c>
      <c r="L92" s="537">
        <v>8.838692071424699</v>
      </c>
      <c r="M92" s="537">
        <v>9.4249989294272325</v>
      </c>
      <c r="N92" s="537">
        <v>7.2285504588855671</v>
      </c>
      <c r="O92" s="537">
        <v>13.766521238514938</v>
      </c>
      <c r="P92" s="537">
        <v>8.5636559617247059</v>
      </c>
      <c r="Q92" s="537">
        <v>8.345856456716259</v>
      </c>
      <c r="R92" s="537">
        <v>7.3275886893296951</v>
      </c>
      <c r="S92" s="537">
        <v>14.582810766369764</v>
      </c>
      <c r="T92" s="537">
        <v>111.84144307898192</v>
      </c>
      <c r="U92" s="537" t="s">
        <v>62</v>
      </c>
    </row>
    <row r="93" spans="1:21" x14ac:dyDescent="0.2">
      <c r="A93" s="537" t="str">
        <f t="shared" si="2"/>
        <v>Moray.2010.Visitor Numbers.Day Visitor</v>
      </c>
      <c r="B93" s="537" t="s">
        <v>196</v>
      </c>
      <c r="C93" s="537" t="str">
        <f t="shared" si="3"/>
        <v>2010.Visitor Numbers.Day Visitor</v>
      </c>
      <c r="D93" s="537" t="s">
        <v>205</v>
      </c>
      <c r="E93" s="537" t="s">
        <v>176</v>
      </c>
      <c r="F93" s="537" t="s">
        <v>73</v>
      </c>
      <c r="G93" s="537" t="s">
        <v>73</v>
      </c>
      <c r="H93" s="537">
        <v>20.355916112936534</v>
      </c>
      <c r="I93" s="537">
        <v>24.503016579570893</v>
      </c>
      <c r="J93" s="537">
        <v>34.68938899470028</v>
      </c>
      <c r="K93" s="537">
        <v>15.101350708115367</v>
      </c>
      <c r="L93" s="537">
        <v>31.378490750304913</v>
      </c>
      <c r="M93" s="537">
        <v>25.377349586231194</v>
      </c>
      <c r="N93" s="537">
        <v>30.350068488476754</v>
      </c>
      <c r="O93" s="537">
        <v>22.957564520315504</v>
      </c>
      <c r="P93" s="537">
        <v>8.542098758801167</v>
      </c>
      <c r="Q93" s="537">
        <v>13.742022583396171</v>
      </c>
      <c r="R93" s="537">
        <v>13.843486480293183</v>
      </c>
      <c r="S93" s="537">
        <v>7.9808192700407563</v>
      </c>
      <c r="T93" s="537">
        <v>248.82157283318273</v>
      </c>
      <c r="U93" s="537" t="s">
        <v>62</v>
      </c>
    </row>
    <row r="94" spans="1:21" x14ac:dyDescent="0.2">
      <c r="A94" s="537" t="str">
        <f t="shared" si="2"/>
        <v>Moray.2010.Visitor Numbers.Total</v>
      </c>
      <c r="B94" s="537" t="s">
        <v>196</v>
      </c>
      <c r="C94" s="537" t="str">
        <f t="shared" si="3"/>
        <v>2010.Visitor Numbers.Total</v>
      </c>
      <c r="D94" s="537" t="s">
        <v>205</v>
      </c>
      <c r="E94" s="537" t="s">
        <v>176</v>
      </c>
      <c r="F94" s="537" t="s">
        <v>55</v>
      </c>
      <c r="G94" s="537" t="s">
        <v>55</v>
      </c>
      <c r="H94" s="537">
        <v>39.765882185680603</v>
      </c>
      <c r="I94" s="537">
        <v>42.02058948150966</v>
      </c>
      <c r="J94" s="537">
        <v>59.49450814748981</v>
      </c>
      <c r="K94" s="537">
        <v>49.660211189881345</v>
      </c>
      <c r="L94" s="537">
        <v>73.622947019688382</v>
      </c>
      <c r="M94" s="537">
        <v>67.026735066414219</v>
      </c>
      <c r="N94" s="537">
        <v>73.075705033850411</v>
      </c>
      <c r="O94" s="537">
        <v>72.9714183060008</v>
      </c>
      <c r="P94" s="537">
        <v>47.824054414927808</v>
      </c>
      <c r="Q94" s="537">
        <v>47.213211054959523</v>
      </c>
      <c r="R94" s="537">
        <v>33.567179658254958</v>
      </c>
      <c r="S94" s="537">
        <v>30.730318469256673</v>
      </c>
      <c r="T94" s="537">
        <v>636.97276002791421</v>
      </c>
      <c r="U94" s="537" t="s">
        <v>62</v>
      </c>
    </row>
    <row r="95" spans="1:21" x14ac:dyDescent="0.2">
      <c r="A95" s="537" t="str">
        <f t="shared" si="2"/>
        <v>Moray.2010.Vehicle Days.Serviced Accommodation</v>
      </c>
      <c r="B95" s="537" t="s">
        <v>196</v>
      </c>
      <c r="C95" s="537" t="str">
        <f t="shared" si="3"/>
        <v>2010.Vehicle Days.Serviced Accommodation</v>
      </c>
      <c r="D95" s="537" t="s">
        <v>205</v>
      </c>
      <c r="E95" s="537" t="s">
        <v>22</v>
      </c>
      <c r="F95" s="537" t="s">
        <v>44</v>
      </c>
      <c r="G95" s="537" t="s">
        <v>44</v>
      </c>
      <c r="H95" s="537">
        <v>4.1714410412470553</v>
      </c>
      <c r="I95" s="537">
        <v>4.1456654752590705</v>
      </c>
      <c r="J95" s="537">
        <v>6.4149436254935122</v>
      </c>
      <c r="K95" s="537">
        <v>6.1566150955243959</v>
      </c>
      <c r="L95" s="537">
        <v>9.2850189504999623</v>
      </c>
      <c r="M95" s="537">
        <v>8.5950916035074201</v>
      </c>
      <c r="N95" s="537">
        <v>10.103135135723463</v>
      </c>
      <c r="O95" s="537">
        <v>9.9258794174828502</v>
      </c>
      <c r="P95" s="537">
        <v>8.3845291088938829</v>
      </c>
      <c r="Q95" s="537">
        <v>7.371991556269915</v>
      </c>
      <c r="R95" s="537">
        <v>4.1047981407546521</v>
      </c>
      <c r="S95" s="537">
        <v>3.1937684090401603</v>
      </c>
      <c r="T95" s="537">
        <v>81.852877559696353</v>
      </c>
      <c r="U95" s="537" t="s">
        <v>62</v>
      </c>
    </row>
    <row r="96" spans="1:21" x14ac:dyDescent="0.2">
      <c r="A96" s="537" t="str">
        <f t="shared" si="2"/>
        <v>Moray.2010.Vehicle Days.Non-Serviced Accommodation</v>
      </c>
      <c r="B96" s="537" t="s">
        <v>196</v>
      </c>
      <c r="C96" s="537" t="str">
        <f t="shared" si="3"/>
        <v>2010.Vehicle Days.Non-Serviced Accommodation</v>
      </c>
      <c r="D96" s="537" t="s">
        <v>205</v>
      </c>
      <c r="E96" s="537" t="s">
        <v>22</v>
      </c>
      <c r="F96" s="537" t="s">
        <v>49</v>
      </c>
      <c r="G96" s="537" t="s">
        <v>49</v>
      </c>
      <c r="H96" s="537">
        <v>2.5399435359831615</v>
      </c>
      <c r="I96" s="537">
        <v>2.8309220426517081</v>
      </c>
      <c r="J96" s="537">
        <v>4.1211254186689974</v>
      </c>
      <c r="K96" s="537">
        <v>9.1128449925602162</v>
      </c>
      <c r="L96" s="537">
        <v>13.300648002179656</v>
      </c>
      <c r="M96" s="537">
        <v>13.997888345857945</v>
      </c>
      <c r="N96" s="537">
        <v>15.33010008857263</v>
      </c>
      <c r="O96" s="537">
        <v>16.696207473839287</v>
      </c>
      <c r="P96" s="537">
        <v>13.318569718914304</v>
      </c>
      <c r="Q96" s="537">
        <v>10.366900918753492</v>
      </c>
      <c r="R96" s="537">
        <v>2.99219677055952</v>
      </c>
      <c r="S96" s="537">
        <v>2.5502758988510301</v>
      </c>
      <c r="T96" s="537">
        <v>107.15762320739194</v>
      </c>
      <c r="U96" s="537" t="s">
        <v>62</v>
      </c>
    </row>
    <row r="97" spans="1:21" x14ac:dyDescent="0.2">
      <c r="A97" s="537" t="str">
        <f t="shared" si="2"/>
        <v>Moray.2010.Vehicle Days.SFR</v>
      </c>
      <c r="B97" s="537" t="s">
        <v>196</v>
      </c>
      <c r="C97" s="537" t="str">
        <f t="shared" si="3"/>
        <v>2010.Vehicle Days.SFR</v>
      </c>
      <c r="D97" s="537" t="s">
        <v>205</v>
      </c>
      <c r="E97" s="537" t="s">
        <v>22</v>
      </c>
      <c r="F97" s="537" t="s">
        <v>19</v>
      </c>
      <c r="G97" s="537" t="s">
        <v>19</v>
      </c>
      <c r="H97" s="537">
        <v>10.065469427015362</v>
      </c>
      <c r="I97" s="537">
        <v>5.085736716931109</v>
      </c>
      <c r="J97" s="537">
        <v>5.9636457328288692</v>
      </c>
      <c r="K97" s="537">
        <v>9.9307061043890474</v>
      </c>
      <c r="L97" s="537">
        <v>7.000244120568361</v>
      </c>
      <c r="M97" s="537">
        <v>10.210898840157935</v>
      </c>
      <c r="N97" s="537">
        <v>9.9031141286732254</v>
      </c>
      <c r="O97" s="537">
        <v>17.786345440161298</v>
      </c>
      <c r="P97" s="537">
        <v>8.5722196176864287</v>
      </c>
      <c r="Q97" s="537">
        <v>7.2831507345610556</v>
      </c>
      <c r="R97" s="537">
        <v>6.3090538615128668</v>
      </c>
      <c r="S97" s="537">
        <v>15.209871629323663</v>
      </c>
      <c r="T97" s="537">
        <v>113.32045635380922</v>
      </c>
      <c r="U97" s="537" t="s">
        <v>62</v>
      </c>
    </row>
    <row r="98" spans="1:21" x14ac:dyDescent="0.2">
      <c r="A98" s="537" t="str">
        <f t="shared" si="2"/>
        <v>Moray.2010.Vehicle Days.Day Visitor</v>
      </c>
      <c r="B98" s="537" t="s">
        <v>196</v>
      </c>
      <c r="C98" s="537" t="str">
        <f t="shared" si="3"/>
        <v>2010.Vehicle Days.Day Visitor</v>
      </c>
      <c r="D98" s="537" t="s">
        <v>205</v>
      </c>
      <c r="E98" s="537" t="s">
        <v>22</v>
      </c>
      <c r="F98" s="537" t="s">
        <v>73</v>
      </c>
      <c r="G98" s="537" t="s">
        <v>73</v>
      </c>
      <c r="H98" s="537">
        <v>4.652780825814065</v>
      </c>
      <c r="I98" s="537">
        <v>5.6006895039019184</v>
      </c>
      <c r="J98" s="537">
        <v>7.4004029855360605</v>
      </c>
      <c r="K98" s="537">
        <v>3.0202701416230737</v>
      </c>
      <c r="L98" s="537">
        <v>6.2756981500609825</v>
      </c>
      <c r="M98" s="537">
        <v>5.2056101715346044</v>
      </c>
      <c r="N98" s="537">
        <v>5.7809654263765253</v>
      </c>
      <c r="O98" s="537">
        <v>4.3728694324410489</v>
      </c>
      <c r="P98" s="537">
        <v>1.8223144018775823</v>
      </c>
      <c r="Q98" s="537">
        <v>2.9316314844578497</v>
      </c>
      <c r="R98" s="537">
        <v>2.9532771157958795</v>
      </c>
      <c r="S98" s="537">
        <v>1.702574777608695</v>
      </c>
      <c r="T98" s="537">
        <v>51.719084417028292</v>
      </c>
      <c r="U98" s="537" t="s">
        <v>62</v>
      </c>
    </row>
    <row r="99" spans="1:21" x14ac:dyDescent="0.2">
      <c r="A99" s="537" t="str">
        <f t="shared" si="2"/>
        <v>Moray.2010.Vehicle Days.Total</v>
      </c>
      <c r="B99" s="537" t="s">
        <v>196</v>
      </c>
      <c r="C99" s="537" t="str">
        <f t="shared" si="3"/>
        <v>2010.Vehicle Days.Total</v>
      </c>
      <c r="D99" s="537" t="s">
        <v>205</v>
      </c>
      <c r="E99" s="537" t="s">
        <v>22</v>
      </c>
      <c r="F99" s="537" t="s">
        <v>55</v>
      </c>
      <c r="G99" s="537" t="s">
        <v>55</v>
      </c>
      <c r="H99" s="537">
        <v>21.429634830059644</v>
      </c>
      <c r="I99" s="537">
        <v>17.663013738743807</v>
      </c>
      <c r="J99" s="537">
        <v>23.90011776252744</v>
      </c>
      <c r="K99" s="537">
        <v>28.220436334096732</v>
      </c>
      <c r="L99" s="537">
        <v>35.86160922330896</v>
      </c>
      <c r="M99" s="537">
        <v>38.009488961057897</v>
      </c>
      <c r="N99" s="537">
        <v>41.11731477934584</v>
      </c>
      <c r="O99" s="537">
        <v>48.781301763924489</v>
      </c>
      <c r="P99" s="537">
        <v>32.097632847372196</v>
      </c>
      <c r="Q99" s="537">
        <v>27.953674694042309</v>
      </c>
      <c r="R99" s="537">
        <v>16.359325888622919</v>
      </c>
      <c r="S99" s="537">
        <v>22.656490714823548</v>
      </c>
      <c r="T99" s="537">
        <v>354.05004153792584</v>
      </c>
      <c r="U99" s="537" t="s">
        <v>62</v>
      </c>
    </row>
    <row r="100" spans="1:21" x14ac:dyDescent="0.2">
      <c r="A100" s="537" t="str">
        <f t="shared" si="2"/>
        <v>Moray.2010.Vehicle Numbers.Serviced Accommodation</v>
      </c>
      <c r="B100" s="537" t="s">
        <v>196</v>
      </c>
      <c r="C100" s="537" t="str">
        <f t="shared" si="3"/>
        <v>2010.Vehicle Numbers.Serviced Accommodation</v>
      </c>
      <c r="D100" s="537" t="s">
        <v>205</v>
      </c>
      <c r="E100" s="537" t="s">
        <v>23</v>
      </c>
      <c r="F100" s="537" t="s">
        <v>44</v>
      </c>
      <c r="G100" s="537" t="s">
        <v>44</v>
      </c>
      <c r="H100" s="537">
        <v>1.7754195117104339</v>
      </c>
      <c r="I100" s="537">
        <v>2.2266575184663937</v>
      </c>
      <c r="J100" s="537">
        <v>3.2399592819009335</v>
      </c>
      <c r="K100" s="537">
        <v>3.1853519127627914</v>
      </c>
      <c r="L100" s="537">
        <v>4.8579384924325231</v>
      </c>
      <c r="M100" s="537">
        <v>4.3167923779566824</v>
      </c>
      <c r="N100" s="537">
        <v>5.1366176401438111</v>
      </c>
      <c r="O100" s="537">
        <v>5.2064251645991249</v>
      </c>
      <c r="P100" s="537">
        <v>4.7192986796775118</v>
      </c>
      <c r="Q100" s="537">
        <v>3.7366079951542108</v>
      </c>
      <c r="R100" s="537">
        <v>2.1665397074764128</v>
      </c>
      <c r="S100" s="537">
        <v>1.419321489117888</v>
      </c>
      <c r="T100" s="537">
        <v>41.986929771398721</v>
      </c>
      <c r="U100" s="537" t="s">
        <v>62</v>
      </c>
    </row>
    <row r="101" spans="1:21" x14ac:dyDescent="0.2">
      <c r="A101" s="537" t="str">
        <f t="shared" si="2"/>
        <v>Moray.2010.Vehicle Numbers.Non-Serviced Accommodation</v>
      </c>
      <c r="B101" s="537" t="s">
        <v>196</v>
      </c>
      <c r="C101" s="537" t="str">
        <f t="shared" si="3"/>
        <v>2010.Vehicle Numbers.Non-Serviced Accommodation</v>
      </c>
      <c r="D101" s="537" t="s">
        <v>205</v>
      </c>
      <c r="E101" s="537" t="s">
        <v>23</v>
      </c>
      <c r="F101" s="537" t="s">
        <v>49</v>
      </c>
      <c r="G101" s="537" t="s">
        <v>49</v>
      </c>
      <c r="H101" s="537">
        <v>0.34816226763537655</v>
      </c>
      <c r="I101" s="537">
        <v>0.41395957679620021</v>
      </c>
      <c r="J101" s="537">
        <v>0.66345015080878433</v>
      </c>
      <c r="K101" s="537">
        <v>1.2704858127729519</v>
      </c>
      <c r="L101" s="537">
        <v>1.9603754404030176</v>
      </c>
      <c r="M101" s="537">
        <v>1.816496772056436</v>
      </c>
      <c r="N101" s="537">
        <v>1.9194907899176492</v>
      </c>
      <c r="O101" s="537">
        <v>1.9843367736754913</v>
      </c>
      <c r="P101" s="537">
        <v>1.5820315105512865</v>
      </c>
      <c r="Q101" s="537">
        <v>1.4168672206179787</v>
      </c>
      <c r="R101" s="537">
        <v>0.42132306788805701</v>
      </c>
      <c r="S101" s="537">
        <v>0.27330342425827614</v>
      </c>
      <c r="T101" s="537">
        <v>14.070282807381506</v>
      </c>
      <c r="U101" s="537" t="s">
        <v>62</v>
      </c>
    </row>
    <row r="102" spans="1:21" x14ac:dyDescent="0.2">
      <c r="A102" s="537" t="str">
        <f t="shared" si="2"/>
        <v>Moray.2010.Vehicle Numbers.SFR</v>
      </c>
      <c r="B102" s="537" t="s">
        <v>196</v>
      </c>
      <c r="C102" s="537" t="str">
        <f t="shared" si="3"/>
        <v>2010.Vehicle Numbers.SFR</v>
      </c>
      <c r="D102" s="537" t="s">
        <v>205</v>
      </c>
      <c r="E102" s="537" t="s">
        <v>23</v>
      </c>
      <c r="F102" s="537" t="s">
        <v>19</v>
      </c>
      <c r="G102" s="537" t="s">
        <v>19</v>
      </c>
      <c r="H102" s="537">
        <v>2.6698857896592472</v>
      </c>
      <c r="I102" s="537">
        <v>1.4741265846177127</v>
      </c>
      <c r="J102" s="537">
        <v>1.7748945633419255</v>
      </c>
      <c r="K102" s="537">
        <v>2.52689722757991</v>
      </c>
      <c r="L102" s="537">
        <v>1.7677384142849397</v>
      </c>
      <c r="M102" s="537">
        <v>2.0299997694150962</v>
      </c>
      <c r="N102" s="537">
        <v>1.4457100917771133</v>
      </c>
      <c r="O102" s="537">
        <v>2.7533042477029874</v>
      </c>
      <c r="P102" s="537">
        <v>1.998186391069098</v>
      </c>
      <c r="Q102" s="537">
        <v>1.9473665065671271</v>
      </c>
      <c r="R102" s="537">
        <v>1.7097706941769286</v>
      </c>
      <c r="S102" s="537">
        <v>3.4026558454862781</v>
      </c>
      <c r="T102" s="537">
        <v>25.500536125678366</v>
      </c>
      <c r="U102" s="537" t="s">
        <v>62</v>
      </c>
    </row>
    <row r="103" spans="1:21" x14ac:dyDescent="0.2">
      <c r="A103" s="537" t="str">
        <f t="shared" si="2"/>
        <v>Moray.2010.Vehicle Numbers.Day Visitor</v>
      </c>
      <c r="B103" s="537" t="s">
        <v>196</v>
      </c>
      <c r="C103" s="537" t="str">
        <f t="shared" si="3"/>
        <v>2010.Vehicle Numbers.Day Visitor</v>
      </c>
      <c r="D103" s="537" t="s">
        <v>205</v>
      </c>
      <c r="E103" s="537" t="s">
        <v>23</v>
      </c>
      <c r="F103" s="537" t="s">
        <v>73</v>
      </c>
      <c r="G103" s="537" t="s">
        <v>73</v>
      </c>
      <c r="H103" s="537">
        <v>4.652780825814065</v>
      </c>
      <c r="I103" s="537">
        <v>5.6006895039019184</v>
      </c>
      <c r="J103" s="537">
        <v>7.4004029855360605</v>
      </c>
      <c r="K103" s="537">
        <v>3.0202701416230737</v>
      </c>
      <c r="L103" s="537">
        <v>6.2756981500609825</v>
      </c>
      <c r="M103" s="537">
        <v>5.2056101715346044</v>
      </c>
      <c r="N103" s="537">
        <v>5.7809654263765253</v>
      </c>
      <c r="O103" s="537">
        <v>4.3728694324410489</v>
      </c>
      <c r="P103" s="537">
        <v>1.8223144018775823</v>
      </c>
      <c r="Q103" s="537">
        <v>2.9316314844578497</v>
      </c>
      <c r="R103" s="537">
        <v>2.9532771157958795</v>
      </c>
      <c r="S103" s="537">
        <v>1.702574777608695</v>
      </c>
      <c r="T103" s="537">
        <v>51.719084417028292</v>
      </c>
      <c r="U103" s="537" t="s">
        <v>62</v>
      </c>
    </row>
    <row r="104" spans="1:21" x14ac:dyDescent="0.2">
      <c r="A104" s="537" t="str">
        <f t="shared" si="2"/>
        <v>Moray.2010.Vehicle Numbers.Total</v>
      </c>
      <c r="B104" s="537" t="s">
        <v>196</v>
      </c>
      <c r="C104" s="537" t="str">
        <f t="shared" si="3"/>
        <v>2010.Vehicle Numbers.Total</v>
      </c>
      <c r="D104" s="537" t="s">
        <v>205</v>
      </c>
      <c r="E104" s="537" t="s">
        <v>23</v>
      </c>
      <c r="F104" s="537" t="s">
        <v>55</v>
      </c>
      <c r="G104" s="537" t="s">
        <v>55</v>
      </c>
      <c r="H104" s="537">
        <v>9.446248394819122</v>
      </c>
      <c r="I104" s="537">
        <v>9.7154331837822241</v>
      </c>
      <c r="J104" s="537">
        <v>13.078706981587704</v>
      </c>
      <c r="K104" s="537">
        <v>10.003005094738727</v>
      </c>
      <c r="L104" s="537">
        <v>14.861750497181463</v>
      </c>
      <c r="M104" s="537">
        <v>13.36889909096282</v>
      </c>
      <c r="N104" s="537">
        <v>14.2827839482151</v>
      </c>
      <c r="O104" s="537">
        <v>14.316935618418654</v>
      </c>
      <c r="P104" s="537">
        <v>10.121830983175478</v>
      </c>
      <c r="Q104" s="537">
        <v>10.032473206797166</v>
      </c>
      <c r="R104" s="537">
        <v>7.2509105853372784</v>
      </c>
      <c r="S104" s="537">
        <v>6.7978555364711371</v>
      </c>
      <c r="T104" s="537">
        <v>133.27683312148687</v>
      </c>
      <c r="U104" s="537" t="s">
        <v>62</v>
      </c>
    </row>
    <row r="105" spans="1:21" x14ac:dyDescent="0.2">
      <c r="A105" s="537" t="str">
        <f t="shared" si="2"/>
        <v>Moray.2010.Accommodation.Serviced Accommodation</v>
      </c>
      <c r="B105" s="537" t="s">
        <v>196</v>
      </c>
      <c r="C105" s="537" t="str">
        <f t="shared" si="3"/>
        <v>2010.Accommodation.Serviced Accommodation</v>
      </c>
      <c r="D105" s="537" t="s">
        <v>205</v>
      </c>
      <c r="E105" s="537" t="s">
        <v>24</v>
      </c>
      <c r="F105" s="537" t="s">
        <v>44</v>
      </c>
      <c r="G105" s="537" t="s">
        <v>44</v>
      </c>
      <c r="H105" s="537">
        <v>2588.4193548387098</v>
      </c>
      <c r="I105" s="537">
        <v>2589</v>
      </c>
      <c r="J105" s="537">
        <v>2602</v>
      </c>
      <c r="K105" s="537">
        <v>2624.4193548387098</v>
      </c>
      <c r="L105" s="537">
        <v>2638</v>
      </c>
      <c r="M105" s="537">
        <v>2641</v>
      </c>
      <c r="N105" s="537">
        <v>2641</v>
      </c>
      <c r="O105" s="537">
        <v>2641</v>
      </c>
      <c r="P105" s="537">
        <v>2638</v>
      </c>
      <c r="Q105" s="537">
        <v>2627</v>
      </c>
      <c r="R105" s="537">
        <v>2594</v>
      </c>
      <c r="S105" s="537">
        <v>2560.6774193548385</v>
      </c>
      <c r="T105" s="537">
        <v>2641</v>
      </c>
      <c r="U105" s="537" t="s">
        <v>59</v>
      </c>
    </row>
    <row r="106" spans="1:21" x14ac:dyDescent="0.2">
      <c r="A106" s="537" t="str">
        <f t="shared" si="2"/>
        <v>Moray.2010.Accommodation.Non-Serviced Accommodation</v>
      </c>
      <c r="B106" s="537" t="s">
        <v>196</v>
      </c>
      <c r="C106" s="537" t="str">
        <f t="shared" si="3"/>
        <v>2010.Accommodation.Non-Serviced Accommodation</v>
      </c>
      <c r="D106" s="537" t="s">
        <v>205</v>
      </c>
      <c r="E106" s="537" t="s">
        <v>24</v>
      </c>
      <c r="F106" s="537" t="s">
        <v>49</v>
      </c>
      <c r="G106" s="537" t="s">
        <v>49</v>
      </c>
      <c r="H106" s="537">
        <v>1090</v>
      </c>
      <c r="I106" s="537">
        <v>1078</v>
      </c>
      <c r="J106" s="537">
        <v>1697</v>
      </c>
      <c r="K106" s="537">
        <v>4196</v>
      </c>
      <c r="L106" s="537">
        <v>4234</v>
      </c>
      <c r="M106" s="537">
        <v>4249</v>
      </c>
      <c r="N106" s="537">
        <v>4249</v>
      </c>
      <c r="O106" s="537">
        <v>4249</v>
      </c>
      <c r="P106" s="537">
        <v>4249</v>
      </c>
      <c r="Q106" s="537">
        <v>4067</v>
      </c>
      <c r="R106" s="537">
        <v>1266</v>
      </c>
      <c r="S106" s="537">
        <v>1111</v>
      </c>
      <c r="T106" s="537">
        <v>4249</v>
      </c>
      <c r="U106" s="537" t="s">
        <v>59</v>
      </c>
    </row>
    <row r="107" spans="1:21" x14ac:dyDescent="0.2">
      <c r="A107" s="537" t="str">
        <f t="shared" si="2"/>
        <v>Moray.2010.Accommodation.Total</v>
      </c>
      <c r="B107" s="537" t="s">
        <v>196</v>
      </c>
      <c r="C107" s="537" t="str">
        <f t="shared" si="3"/>
        <v>2010.Accommodation.Total</v>
      </c>
      <c r="D107" s="537" t="s">
        <v>205</v>
      </c>
      <c r="E107" s="537" t="s">
        <v>24</v>
      </c>
      <c r="F107" s="537" t="s">
        <v>55</v>
      </c>
      <c r="G107" s="537" t="s">
        <v>55</v>
      </c>
      <c r="H107" s="537">
        <v>3678.4193548387098</v>
      </c>
      <c r="I107" s="537">
        <v>3667</v>
      </c>
      <c r="J107" s="537">
        <v>4299</v>
      </c>
      <c r="K107" s="537">
        <v>6820.4193548387102</v>
      </c>
      <c r="L107" s="537">
        <v>6872</v>
      </c>
      <c r="M107" s="537">
        <v>6890</v>
      </c>
      <c r="N107" s="537">
        <v>6890</v>
      </c>
      <c r="O107" s="537">
        <v>6890</v>
      </c>
      <c r="P107" s="537">
        <v>6887</v>
      </c>
      <c r="Q107" s="537">
        <v>6694</v>
      </c>
      <c r="R107" s="537">
        <v>3860</v>
      </c>
      <c r="S107" s="537">
        <v>3671.6774193548385</v>
      </c>
      <c r="T107" s="537">
        <v>6890</v>
      </c>
      <c r="U107" s="537" t="s">
        <v>59</v>
      </c>
    </row>
    <row r="108" spans="1:21" x14ac:dyDescent="0.2">
      <c r="A108" s="537" t="str">
        <f t="shared" si="2"/>
        <v>Moray.2010.Economic Impact.Total</v>
      </c>
      <c r="B108" s="537" t="s">
        <v>196</v>
      </c>
      <c r="C108" s="537" t="str">
        <f t="shared" si="3"/>
        <v>2010.Economic Impact.Total</v>
      </c>
      <c r="D108" s="537" t="s">
        <v>205</v>
      </c>
      <c r="E108" s="537" t="s">
        <v>18</v>
      </c>
      <c r="F108" s="537" t="s">
        <v>55</v>
      </c>
      <c r="G108" s="537" t="s">
        <v>55</v>
      </c>
      <c r="H108" s="537">
        <v>4943.1136985422636</v>
      </c>
      <c r="I108" s="537">
        <v>4505.9033494656187</v>
      </c>
      <c r="J108" s="537">
        <v>6795.885877299921</v>
      </c>
      <c r="K108" s="537">
        <v>6715.7569403443649</v>
      </c>
      <c r="L108" s="537">
        <v>8662.376244300116</v>
      </c>
      <c r="M108" s="537">
        <v>9229.0351785661369</v>
      </c>
      <c r="N108" s="537">
        <v>10968.699175474521</v>
      </c>
      <c r="O108" s="537">
        <v>11460.994783317938</v>
      </c>
      <c r="P108" s="537">
        <v>7230.5583092238357</v>
      </c>
      <c r="Q108" s="537">
        <v>6811.1471031924848</v>
      </c>
      <c r="R108" s="537">
        <v>3707.4481738368313</v>
      </c>
      <c r="S108" s="537">
        <v>3517.4934547313724</v>
      </c>
      <c r="T108" s="537">
        <v>84548.412288295411</v>
      </c>
      <c r="U108" s="537" t="s">
        <v>58</v>
      </c>
    </row>
    <row r="109" spans="1:21" x14ac:dyDescent="0.2">
      <c r="A109" s="537" t="str">
        <f t="shared" si="2"/>
        <v>Moray.2011.Economic Impact.Indirect Expenditure</v>
      </c>
      <c r="B109" s="537" t="s">
        <v>196</v>
      </c>
      <c r="C109" s="537" t="str">
        <f t="shared" si="3"/>
        <v>2011.Economic Impact.Indirect Expenditure</v>
      </c>
      <c r="D109" s="537" t="s">
        <v>206</v>
      </c>
      <c r="E109" s="537" t="s">
        <v>18</v>
      </c>
      <c r="F109" s="537" t="s">
        <v>46</v>
      </c>
      <c r="G109" s="537" t="s">
        <v>46</v>
      </c>
      <c r="H109" s="537">
        <v>998.2963609844146</v>
      </c>
      <c r="I109" s="537">
        <v>1226.0096347537969</v>
      </c>
      <c r="J109" s="537">
        <v>1439.7658145905618</v>
      </c>
      <c r="K109" s="537">
        <v>1784.7754357018734</v>
      </c>
      <c r="L109" s="537">
        <v>1912.098744259416</v>
      </c>
      <c r="M109" s="537">
        <v>2114.7942555884733</v>
      </c>
      <c r="N109" s="537">
        <v>2574.4116350058425</v>
      </c>
      <c r="O109" s="537">
        <v>2714.6080607772174</v>
      </c>
      <c r="P109" s="537">
        <v>1622.9142711775796</v>
      </c>
      <c r="Q109" s="537">
        <v>1686.8077638889972</v>
      </c>
      <c r="R109" s="537">
        <v>1006.4165688756904</v>
      </c>
      <c r="S109" s="537">
        <v>1008.4305315795763</v>
      </c>
      <c r="T109" s="537">
        <v>20089.32907718344</v>
      </c>
      <c r="U109" s="537" t="s">
        <v>58</v>
      </c>
    </row>
    <row r="110" spans="1:21" x14ac:dyDescent="0.2">
      <c r="A110" s="537" t="str">
        <f t="shared" si="2"/>
        <v>Moray.2011.Economic Impact.Direct Revenue</v>
      </c>
      <c r="B110" s="537" t="s">
        <v>196</v>
      </c>
      <c r="C110" s="537" t="str">
        <f t="shared" si="3"/>
        <v>2011.Economic Impact.Direct Revenue</v>
      </c>
      <c r="D110" s="537" t="s">
        <v>206</v>
      </c>
      <c r="E110" s="537" t="s">
        <v>18</v>
      </c>
      <c r="F110" s="537" t="s">
        <v>47</v>
      </c>
      <c r="G110" s="537" t="s">
        <v>47</v>
      </c>
      <c r="H110" s="537">
        <v>2696.2011833433016</v>
      </c>
      <c r="I110" s="537">
        <v>3377.7516373173166</v>
      </c>
      <c r="J110" s="537">
        <v>3961.2852384168705</v>
      </c>
      <c r="K110" s="537">
        <v>4664.6849950188571</v>
      </c>
      <c r="L110" s="537">
        <v>4978.9377135499071</v>
      </c>
      <c r="M110" s="537">
        <v>5515.6068184291053</v>
      </c>
      <c r="N110" s="537">
        <v>6784.5768490289383</v>
      </c>
      <c r="O110" s="537">
        <v>7147.3850508162477</v>
      </c>
      <c r="P110" s="537">
        <v>4314.7863529114293</v>
      </c>
      <c r="Q110" s="537">
        <v>4483.5906447919879</v>
      </c>
      <c r="R110" s="537">
        <v>2793.4482400773718</v>
      </c>
      <c r="S110" s="537">
        <v>2777.2930906647252</v>
      </c>
      <c r="T110" s="537">
        <v>53495.547814366044</v>
      </c>
      <c r="U110" s="537" t="s">
        <v>58</v>
      </c>
    </row>
    <row r="111" spans="1:21" x14ac:dyDescent="0.2">
      <c r="A111" s="537" t="str">
        <f t="shared" si="2"/>
        <v>Moray.2011.Economic Impact.VAT</v>
      </c>
      <c r="B111" s="537" t="s">
        <v>196</v>
      </c>
      <c r="C111" s="537" t="str">
        <f t="shared" si="3"/>
        <v>2011.Economic Impact.VAT</v>
      </c>
      <c r="D111" s="537" t="s">
        <v>206</v>
      </c>
      <c r="E111" s="537" t="s">
        <v>18</v>
      </c>
      <c r="F111" s="537" t="s">
        <v>48</v>
      </c>
      <c r="G111" s="537" t="s">
        <v>48</v>
      </c>
      <c r="H111" s="537">
        <v>539.24023666866049</v>
      </c>
      <c r="I111" s="537">
        <v>675.55032746346342</v>
      </c>
      <c r="J111" s="537">
        <v>792.25704768337414</v>
      </c>
      <c r="K111" s="537">
        <v>932.93699900377146</v>
      </c>
      <c r="L111" s="537">
        <v>995.78754270998149</v>
      </c>
      <c r="M111" s="537">
        <v>1103.1213636858211</v>
      </c>
      <c r="N111" s="537">
        <v>1356.915369805788</v>
      </c>
      <c r="O111" s="537">
        <v>1429.4770101632498</v>
      </c>
      <c r="P111" s="537">
        <v>862.95727058228601</v>
      </c>
      <c r="Q111" s="537">
        <v>896.71812895839776</v>
      </c>
      <c r="R111" s="537">
        <v>558.6896480154744</v>
      </c>
      <c r="S111" s="537">
        <v>555.45861813294505</v>
      </c>
      <c r="T111" s="537">
        <v>10699.109562873215</v>
      </c>
      <c r="U111" s="537" t="s">
        <v>58</v>
      </c>
    </row>
    <row r="112" spans="1:21" x14ac:dyDescent="0.2">
      <c r="A112" s="537" t="str">
        <f t="shared" si="2"/>
        <v>Moray.2011.Economic Impact.Serviced Accommodation</v>
      </c>
      <c r="B112" s="537" t="s">
        <v>196</v>
      </c>
      <c r="C112" s="537" t="str">
        <f t="shared" si="3"/>
        <v>2011.Economic Impact.Serviced Accommodation</v>
      </c>
      <c r="D112" s="537" t="s">
        <v>206</v>
      </c>
      <c r="E112" s="537" t="s">
        <v>18</v>
      </c>
      <c r="F112" s="537" t="s">
        <v>44</v>
      </c>
      <c r="G112" s="537" t="s">
        <v>44</v>
      </c>
      <c r="H112" s="537">
        <v>1849.5993095726437</v>
      </c>
      <c r="I112" s="537">
        <v>2882.7733717462102</v>
      </c>
      <c r="J112" s="537">
        <v>3363.4930122437436</v>
      </c>
      <c r="K112" s="537">
        <v>2882.4482670617003</v>
      </c>
      <c r="L112" s="537">
        <v>3049.6239812066719</v>
      </c>
      <c r="M112" s="537">
        <v>3323.6446164456411</v>
      </c>
      <c r="N112" s="537">
        <v>4983.9416725180581</v>
      </c>
      <c r="O112" s="537">
        <v>5078.1241460789761</v>
      </c>
      <c r="P112" s="537">
        <v>3536.8218333400655</v>
      </c>
      <c r="Q112" s="537">
        <v>3650.3293492436792</v>
      </c>
      <c r="R112" s="537">
        <v>2599.0662719647116</v>
      </c>
      <c r="S112" s="537">
        <v>2094.7534190916467</v>
      </c>
      <c r="T112" s="537">
        <v>39294.619250513744</v>
      </c>
      <c r="U112" s="537" t="s">
        <v>58</v>
      </c>
    </row>
    <row r="113" spans="1:21" x14ac:dyDescent="0.2">
      <c r="A113" s="537" t="str">
        <f t="shared" si="2"/>
        <v>Moray.2011.Economic Impact.Non-Serviced Accommodation</v>
      </c>
      <c r="B113" s="537" t="s">
        <v>196</v>
      </c>
      <c r="C113" s="537" t="str">
        <f t="shared" si="3"/>
        <v>2011.Economic Impact.Non-Serviced Accommodation</v>
      </c>
      <c r="D113" s="537" t="s">
        <v>206</v>
      </c>
      <c r="E113" s="537" t="s">
        <v>18</v>
      </c>
      <c r="F113" s="537" t="s">
        <v>49</v>
      </c>
      <c r="G113" s="537" t="s">
        <v>49</v>
      </c>
      <c r="H113" s="537">
        <v>296.76486870959701</v>
      </c>
      <c r="I113" s="537">
        <v>347.0282557267123</v>
      </c>
      <c r="J113" s="537">
        <v>418.12314633022277</v>
      </c>
      <c r="K113" s="537">
        <v>2520.5374796015994</v>
      </c>
      <c r="L113" s="537">
        <v>2628.2053293457661</v>
      </c>
      <c r="M113" s="537">
        <v>2999.6272431161124</v>
      </c>
      <c r="N113" s="537">
        <v>3461.572895089399</v>
      </c>
      <c r="O113" s="537">
        <v>3593.8993287304502</v>
      </c>
      <c r="P113" s="537">
        <v>2194.0907285202666</v>
      </c>
      <c r="Q113" s="537">
        <v>2054.9482363080397</v>
      </c>
      <c r="R113" s="537">
        <v>430.20121479054967</v>
      </c>
      <c r="S113" s="537">
        <v>351.99650868597166</v>
      </c>
      <c r="T113" s="537">
        <v>21296.995234954684</v>
      </c>
      <c r="U113" s="537" t="s">
        <v>58</v>
      </c>
    </row>
    <row r="114" spans="1:21" x14ac:dyDescent="0.2">
      <c r="A114" s="537" t="str">
        <f t="shared" si="2"/>
        <v>Moray.2011.Economic Impact.SFR</v>
      </c>
      <c r="B114" s="537" t="s">
        <v>196</v>
      </c>
      <c r="C114" s="537" t="str">
        <f t="shared" si="3"/>
        <v>2011.Economic Impact.SFR</v>
      </c>
      <c r="D114" s="537" t="s">
        <v>206</v>
      </c>
      <c r="E114" s="537" t="s">
        <v>18</v>
      </c>
      <c r="F114" s="537" t="s">
        <v>19</v>
      </c>
      <c r="G114" s="537" t="s">
        <v>19</v>
      </c>
      <c r="H114" s="537">
        <v>1017.9977278899617</v>
      </c>
      <c r="I114" s="537">
        <v>650.11511772867436</v>
      </c>
      <c r="J114" s="537">
        <v>756.02071482095141</v>
      </c>
      <c r="K114" s="537">
        <v>1369.5797965102875</v>
      </c>
      <c r="L114" s="537">
        <v>1044.1573203407381</v>
      </c>
      <c r="M114" s="537">
        <v>1430.9078377295991</v>
      </c>
      <c r="N114" s="537">
        <v>962.62257401267925</v>
      </c>
      <c r="O114" s="537">
        <v>1718.195936051316</v>
      </c>
      <c r="P114" s="537">
        <v>691.90780159680514</v>
      </c>
      <c r="Q114" s="537">
        <v>677.74502068941024</v>
      </c>
      <c r="R114" s="537">
        <v>602.0344907204942</v>
      </c>
      <c r="S114" s="537">
        <v>1475.1686675068065</v>
      </c>
      <c r="T114" s="537">
        <v>12396.453005597723</v>
      </c>
      <c r="U114" s="537" t="s">
        <v>58</v>
      </c>
    </row>
    <row r="115" spans="1:21" x14ac:dyDescent="0.2">
      <c r="A115" s="537" t="str">
        <f t="shared" si="2"/>
        <v>Moray.2011.Economic Impact.Day Visitor</v>
      </c>
      <c r="B115" s="537" t="s">
        <v>196</v>
      </c>
      <c r="C115" s="537" t="str">
        <f t="shared" si="3"/>
        <v>2011.Economic Impact.Day Visitor</v>
      </c>
      <c r="D115" s="537" t="s">
        <v>206</v>
      </c>
      <c r="E115" s="537" t="s">
        <v>18</v>
      </c>
      <c r="F115" s="537" t="s">
        <v>73</v>
      </c>
      <c r="G115" s="537" t="s">
        <v>73</v>
      </c>
      <c r="H115" s="537">
        <v>1069.3758748241744</v>
      </c>
      <c r="I115" s="537">
        <v>1399.3948543329805</v>
      </c>
      <c r="J115" s="537">
        <v>1655.6712272958882</v>
      </c>
      <c r="K115" s="537">
        <v>609.83188655091419</v>
      </c>
      <c r="L115" s="537">
        <v>1164.8373696261285</v>
      </c>
      <c r="M115" s="537">
        <v>979.34274041204594</v>
      </c>
      <c r="N115" s="537">
        <v>1307.7667122204325</v>
      </c>
      <c r="O115" s="537">
        <v>901.25071089597338</v>
      </c>
      <c r="P115" s="537">
        <v>377.83753121415907</v>
      </c>
      <c r="Q115" s="537">
        <v>684.09393139825454</v>
      </c>
      <c r="R115" s="537">
        <v>727.25247949278128</v>
      </c>
      <c r="S115" s="537">
        <v>419.26364509282115</v>
      </c>
      <c r="T115" s="537">
        <v>11295.918963356553</v>
      </c>
      <c r="U115" s="537" t="s">
        <v>58</v>
      </c>
    </row>
    <row r="116" spans="1:21" x14ac:dyDescent="0.2">
      <c r="A116" s="537" t="str">
        <f t="shared" si="2"/>
        <v>Moray.2011.Economic Impact.Accommodation</v>
      </c>
      <c r="B116" s="537" t="s">
        <v>196</v>
      </c>
      <c r="C116" s="537" t="str">
        <f t="shared" si="3"/>
        <v>2011.Economic Impact.Accommodation</v>
      </c>
      <c r="D116" s="537" t="s">
        <v>206</v>
      </c>
      <c r="E116" s="537" t="s">
        <v>18</v>
      </c>
      <c r="F116" s="537" t="s">
        <v>24</v>
      </c>
      <c r="G116" s="537" t="s">
        <v>24</v>
      </c>
      <c r="H116" s="537">
        <v>438.10074289779175</v>
      </c>
      <c r="I116" s="537">
        <v>686.25456862502449</v>
      </c>
      <c r="J116" s="537">
        <v>788.03541652284184</v>
      </c>
      <c r="K116" s="537">
        <v>1191.7132479686563</v>
      </c>
      <c r="L116" s="537">
        <v>1302.4089266875294</v>
      </c>
      <c r="M116" s="537">
        <v>1429.7050211124717</v>
      </c>
      <c r="N116" s="537">
        <v>2371.8058567256312</v>
      </c>
      <c r="O116" s="537">
        <v>2486.7792815188131</v>
      </c>
      <c r="P116" s="537">
        <v>1358.1680815864211</v>
      </c>
      <c r="Q116" s="537">
        <v>1354.8257242581449</v>
      </c>
      <c r="R116" s="537">
        <v>766.7075855538917</v>
      </c>
      <c r="S116" s="537">
        <v>649.67768760442095</v>
      </c>
      <c r="T116" s="537">
        <v>14824.182141061638</v>
      </c>
      <c r="U116" s="537" t="s">
        <v>58</v>
      </c>
    </row>
    <row r="117" spans="1:21" x14ac:dyDescent="0.2">
      <c r="A117" s="537" t="str">
        <f t="shared" si="2"/>
        <v>Moray.2011.Economic Impact.Food &amp; Drink</v>
      </c>
      <c r="B117" s="537" t="s">
        <v>196</v>
      </c>
      <c r="C117" s="537" t="str">
        <f t="shared" si="3"/>
        <v>2011.Economic Impact.Food &amp; Drink</v>
      </c>
      <c r="D117" s="537" t="s">
        <v>206</v>
      </c>
      <c r="E117" s="537" t="s">
        <v>18</v>
      </c>
      <c r="F117" s="537" t="s">
        <v>50</v>
      </c>
      <c r="G117" s="537" t="s">
        <v>50</v>
      </c>
      <c r="H117" s="537">
        <v>788.69999984529886</v>
      </c>
      <c r="I117" s="537">
        <v>952.8709601341028</v>
      </c>
      <c r="J117" s="537">
        <v>1122.8600266622395</v>
      </c>
      <c r="K117" s="537">
        <v>995.43219961510852</v>
      </c>
      <c r="L117" s="537">
        <v>1083.401660979878</v>
      </c>
      <c r="M117" s="537">
        <v>1173.3915291764649</v>
      </c>
      <c r="N117" s="537">
        <v>1236.3575058123236</v>
      </c>
      <c r="O117" s="537">
        <v>1344.4006247225309</v>
      </c>
      <c r="P117" s="537">
        <v>865.97216981513213</v>
      </c>
      <c r="Q117" s="537">
        <v>948.77369993852699</v>
      </c>
      <c r="R117" s="537">
        <v>693.78377993225911</v>
      </c>
      <c r="S117" s="537">
        <v>703.88943846946086</v>
      </c>
      <c r="T117" s="537">
        <v>11909.833595103326</v>
      </c>
      <c r="U117" s="537" t="s">
        <v>58</v>
      </c>
    </row>
    <row r="118" spans="1:21" x14ac:dyDescent="0.2">
      <c r="A118" s="537" t="str">
        <f t="shared" si="2"/>
        <v>Moray.2011.Economic Impact.Recreation</v>
      </c>
      <c r="B118" s="537" t="s">
        <v>196</v>
      </c>
      <c r="C118" s="537" t="str">
        <f t="shared" si="3"/>
        <v>2011.Economic Impact.Recreation</v>
      </c>
      <c r="D118" s="537" t="s">
        <v>206</v>
      </c>
      <c r="E118" s="537" t="s">
        <v>18</v>
      </c>
      <c r="F118" s="537" t="s">
        <v>51</v>
      </c>
      <c r="G118" s="537" t="s">
        <v>51</v>
      </c>
      <c r="H118" s="537">
        <v>345.57733727293646</v>
      </c>
      <c r="I118" s="537">
        <v>440.86457271596055</v>
      </c>
      <c r="J118" s="537">
        <v>515.08816968913493</v>
      </c>
      <c r="K118" s="537">
        <v>388.02577853162484</v>
      </c>
      <c r="L118" s="537">
        <v>418.36991350844585</v>
      </c>
      <c r="M118" s="537">
        <v>467.25417408527164</v>
      </c>
      <c r="N118" s="537">
        <v>588.18384783559395</v>
      </c>
      <c r="O118" s="537">
        <v>614.38764463970006</v>
      </c>
      <c r="P118" s="537">
        <v>383.65782033760001</v>
      </c>
      <c r="Q118" s="537">
        <v>460.99131474147293</v>
      </c>
      <c r="R118" s="537">
        <v>319.08307033582503</v>
      </c>
      <c r="S118" s="537">
        <v>285.05029248867953</v>
      </c>
      <c r="T118" s="537">
        <v>5226.5339361822462</v>
      </c>
      <c r="U118" s="537" t="s">
        <v>58</v>
      </c>
    </row>
    <row r="119" spans="1:21" x14ac:dyDescent="0.2">
      <c r="A119" s="537" t="str">
        <f t="shared" si="2"/>
        <v>Moray.2011.Economic Impact.Shopping</v>
      </c>
      <c r="B119" s="537" t="s">
        <v>196</v>
      </c>
      <c r="C119" s="537" t="str">
        <f t="shared" si="3"/>
        <v>2011.Economic Impact.Shopping</v>
      </c>
      <c r="D119" s="537" t="s">
        <v>206</v>
      </c>
      <c r="E119" s="537" t="s">
        <v>18</v>
      </c>
      <c r="F119" s="537" t="s">
        <v>52</v>
      </c>
      <c r="G119" s="537" t="s">
        <v>52</v>
      </c>
      <c r="H119" s="537">
        <v>423.72011730871742</v>
      </c>
      <c r="I119" s="537">
        <v>473.73326590166664</v>
      </c>
      <c r="J119" s="537">
        <v>558.77698132405487</v>
      </c>
      <c r="K119" s="537">
        <v>585.84411253850817</v>
      </c>
      <c r="L119" s="537">
        <v>642.97359577931661</v>
      </c>
      <c r="M119" s="537">
        <v>696.72927968543047</v>
      </c>
      <c r="N119" s="537">
        <v>864.89681085385132</v>
      </c>
      <c r="O119" s="537">
        <v>879.72409619123414</v>
      </c>
      <c r="P119" s="537">
        <v>534.20712861086088</v>
      </c>
      <c r="Q119" s="537">
        <v>552.43657698762991</v>
      </c>
      <c r="R119" s="537">
        <v>374.95090707994706</v>
      </c>
      <c r="S119" s="537">
        <v>443.99262020576441</v>
      </c>
      <c r="T119" s="537">
        <v>7031.9854924669808</v>
      </c>
      <c r="U119" s="537" t="s">
        <v>58</v>
      </c>
    </row>
    <row r="120" spans="1:21" x14ac:dyDescent="0.2">
      <c r="A120" s="537" t="str">
        <f t="shared" si="2"/>
        <v>Moray.2011.Economic Impact.Transport</v>
      </c>
      <c r="B120" s="537" t="s">
        <v>196</v>
      </c>
      <c r="C120" s="537" t="str">
        <f t="shared" si="3"/>
        <v>2011.Economic Impact.Transport</v>
      </c>
      <c r="D120" s="537" t="s">
        <v>206</v>
      </c>
      <c r="E120" s="537" t="s">
        <v>18</v>
      </c>
      <c r="F120" s="537" t="s">
        <v>53</v>
      </c>
      <c r="G120" s="537" t="s">
        <v>53</v>
      </c>
      <c r="H120" s="537">
        <v>700.10298601855743</v>
      </c>
      <c r="I120" s="537">
        <v>824.02826994056238</v>
      </c>
      <c r="J120" s="537">
        <v>976.52464421859941</v>
      </c>
      <c r="K120" s="537">
        <v>1503.6696563649589</v>
      </c>
      <c r="L120" s="537">
        <v>1531.7836165947374</v>
      </c>
      <c r="M120" s="537">
        <v>1748.5268143694661</v>
      </c>
      <c r="N120" s="537">
        <v>1723.332827801539</v>
      </c>
      <c r="O120" s="537">
        <v>1822.0934037439699</v>
      </c>
      <c r="P120" s="537">
        <v>1172.7811525614159</v>
      </c>
      <c r="Q120" s="537">
        <v>1166.5633288662139</v>
      </c>
      <c r="R120" s="537">
        <v>638.92289717544884</v>
      </c>
      <c r="S120" s="537">
        <v>694.68305189639943</v>
      </c>
      <c r="T120" s="537">
        <v>14503.012649551869</v>
      </c>
      <c r="U120" s="537" t="s">
        <v>58</v>
      </c>
    </row>
    <row r="121" spans="1:21" x14ac:dyDescent="0.2">
      <c r="A121" s="537" t="str">
        <f t="shared" si="2"/>
        <v>Moray.2011.Economic Impact.Direct Expenditure</v>
      </c>
      <c r="B121" s="537" t="s">
        <v>196</v>
      </c>
      <c r="C121" s="537" t="str">
        <f t="shared" si="3"/>
        <v>2011.Economic Impact.Direct Expenditure</v>
      </c>
      <c r="D121" s="537" t="s">
        <v>206</v>
      </c>
      <c r="E121" s="537" t="s">
        <v>18</v>
      </c>
      <c r="F121" s="537" t="s">
        <v>45</v>
      </c>
      <c r="G121" s="537" t="s">
        <v>45</v>
      </c>
      <c r="H121" s="537">
        <v>3235.4414200119622</v>
      </c>
      <c r="I121" s="537">
        <v>4053.3019647807805</v>
      </c>
      <c r="J121" s="537">
        <v>4753.5422861002444</v>
      </c>
      <c r="K121" s="537">
        <v>5597.6219940226274</v>
      </c>
      <c r="L121" s="537">
        <v>5974.7252562598887</v>
      </c>
      <c r="M121" s="537">
        <v>6618.7281821149245</v>
      </c>
      <c r="N121" s="537">
        <v>8141.4922188347273</v>
      </c>
      <c r="O121" s="537">
        <v>8576.862060979498</v>
      </c>
      <c r="P121" s="537">
        <v>5177.7436234937159</v>
      </c>
      <c r="Q121" s="537">
        <v>5380.3087737503865</v>
      </c>
      <c r="R121" s="537">
        <v>3352.1378880928464</v>
      </c>
      <c r="S121" s="537">
        <v>3332.7517087976698</v>
      </c>
      <c r="T121" s="537">
        <v>64194.657377239266</v>
      </c>
      <c r="U121" s="537" t="s">
        <v>58</v>
      </c>
    </row>
    <row r="122" spans="1:21" x14ac:dyDescent="0.2">
      <c r="A122" s="537" t="str">
        <f t="shared" si="2"/>
        <v>Moray.2011.Population.Total</v>
      </c>
      <c r="B122" s="537" t="s">
        <v>196</v>
      </c>
      <c r="C122" s="537" t="str">
        <f t="shared" si="3"/>
        <v>2011.Population.Total</v>
      </c>
      <c r="D122" s="537" t="s">
        <v>206</v>
      </c>
      <c r="E122" s="537" t="s">
        <v>20</v>
      </c>
      <c r="F122" s="537" t="s">
        <v>55</v>
      </c>
      <c r="G122" s="537" t="s">
        <v>55</v>
      </c>
      <c r="H122" s="537">
        <v>87720</v>
      </c>
      <c r="I122" s="537">
        <v>87720</v>
      </c>
      <c r="J122" s="537">
        <v>87720</v>
      </c>
      <c r="K122" s="537">
        <v>87720</v>
      </c>
      <c r="L122" s="537">
        <v>87720</v>
      </c>
      <c r="M122" s="537">
        <v>87720</v>
      </c>
      <c r="N122" s="537">
        <v>87720</v>
      </c>
      <c r="O122" s="537">
        <v>87720</v>
      </c>
      <c r="P122" s="537">
        <v>87720</v>
      </c>
      <c r="Q122" s="537">
        <v>87720</v>
      </c>
      <c r="R122" s="537">
        <v>87720</v>
      </c>
      <c r="S122" s="537">
        <v>87720</v>
      </c>
      <c r="T122" s="537">
        <v>87720</v>
      </c>
      <c r="U122" s="537" t="s">
        <v>61</v>
      </c>
    </row>
    <row r="123" spans="1:21" x14ac:dyDescent="0.2">
      <c r="A123" s="537" t="str">
        <f t="shared" si="2"/>
        <v>Moray.2011.Employment.Serviced Accommodation</v>
      </c>
      <c r="B123" s="537" t="s">
        <v>196</v>
      </c>
      <c r="C123" s="537" t="str">
        <f t="shared" si="3"/>
        <v>2011.Employment.Serviced Accommodation</v>
      </c>
      <c r="D123" s="537" t="s">
        <v>206</v>
      </c>
      <c r="E123" s="537" t="s">
        <v>21</v>
      </c>
      <c r="F123" s="537" t="s">
        <v>44</v>
      </c>
      <c r="G123" s="537" t="s">
        <v>44</v>
      </c>
      <c r="H123" s="537">
        <v>1194.4026480775374</v>
      </c>
      <c r="I123" s="537">
        <v>1317.5216037431787</v>
      </c>
      <c r="J123" s="537">
        <v>1382.7946489215249</v>
      </c>
      <c r="K123" s="537">
        <v>1278.9815557849638</v>
      </c>
      <c r="L123" s="537">
        <v>1287.1478486975234</v>
      </c>
      <c r="M123" s="537">
        <v>1316.2851896611558</v>
      </c>
      <c r="N123" s="537">
        <v>1426.2855848236195</v>
      </c>
      <c r="O123" s="537">
        <v>1427.4416330733441</v>
      </c>
      <c r="P123" s="537">
        <v>1357.6976560657981</v>
      </c>
      <c r="Q123" s="537">
        <v>1358.0191870860008</v>
      </c>
      <c r="R123" s="537">
        <v>1250.1624295267527</v>
      </c>
      <c r="S123" s="537">
        <v>1175.0332502682741</v>
      </c>
      <c r="T123" s="537">
        <v>1314.3144363108061</v>
      </c>
      <c r="U123" s="537" t="s">
        <v>60</v>
      </c>
    </row>
    <row r="124" spans="1:21" x14ac:dyDescent="0.2">
      <c r="A124" s="537" t="str">
        <f t="shared" si="2"/>
        <v>Moray.2011.Employment.Non-Serviced Accommodation</v>
      </c>
      <c r="B124" s="537" t="s">
        <v>196</v>
      </c>
      <c r="C124" s="537" t="str">
        <f t="shared" si="3"/>
        <v>2011.Employment.Non-Serviced Accommodation</v>
      </c>
      <c r="D124" s="537" t="s">
        <v>206</v>
      </c>
      <c r="E124" s="537" t="s">
        <v>21</v>
      </c>
      <c r="F124" s="537" t="s">
        <v>49</v>
      </c>
      <c r="G124" s="537" t="s">
        <v>49</v>
      </c>
      <c r="H124" s="537">
        <v>360.94775376657003</v>
      </c>
      <c r="I124" s="537">
        <v>360.83443965953967</v>
      </c>
      <c r="J124" s="537">
        <v>377.91132621604862</v>
      </c>
      <c r="K124" s="537">
        <v>663.87358149023112</v>
      </c>
      <c r="L124" s="537">
        <v>682.76407937712156</v>
      </c>
      <c r="M124" s="537">
        <v>728.90331859861851</v>
      </c>
      <c r="N124" s="537">
        <v>736.29899829843657</v>
      </c>
      <c r="O124" s="537">
        <v>741.37664992441591</v>
      </c>
      <c r="P124" s="537">
        <v>618.24629449499196</v>
      </c>
      <c r="Q124" s="537">
        <v>605.30380532320487</v>
      </c>
      <c r="R124" s="537">
        <v>376.1166083733512</v>
      </c>
      <c r="S124" s="537">
        <v>369.05208570388521</v>
      </c>
      <c r="T124" s="537">
        <v>551.80241176886796</v>
      </c>
      <c r="U124" s="537" t="s">
        <v>60</v>
      </c>
    </row>
    <row r="125" spans="1:21" x14ac:dyDescent="0.2">
      <c r="A125" s="537" t="str">
        <f t="shared" si="2"/>
        <v>Moray.2011.Employment.SFR</v>
      </c>
      <c r="B125" s="537" t="s">
        <v>196</v>
      </c>
      <c r="C125" s="537" t="str">
        <f t="shared" si="3"/>
        <v>2011.Employment.SFR</v>
      </c>
      <c r="D125" s="537" t="s">
        <v>206</v>
      </c>
      <c r="E125" s="537" t="s">
        <v>21</v>
      </c>
      <c r="F125" s="537" t="s">
        <v>19</v>
      </c>
      <c r="G125" s="537" t="s">
        <v>19</v>
      </c>
      <c r="H125" s="537">
        <v>172.23888210308604</v>
      </c>
      <c r="I125" s="537">
        <v>109.99543323932326</v>
      </c>
      <c r="J125" s="537">
        <v>127.91400137742953</v>
      </c>
      <c r="K125" s="537">
        <v>232.52888727974388</v>
      </c>
      <c r="L125" s="537">
        <v>177.27827211125714</v>
      </c>
      <c r="M125" s="537">
        <v>242.94123508168204</v>
      </c>
      <c r="N125" s="537">
        <v>163.39667401806452</v>
      </c>
      <c r="O125" s="537">
        <v>291.64857426088395</v>
      </c>
      <c r="P125" s="537">
        <v>117.44523405138814</v>
      </c>
      <c r="Q125" s="537">
        <v>114.54771962042756</v>
      </c>
      <c r="R125" s="537">
        <v>101.75165576978998</v>
      </c>
      <c r="S125" s="537">
        <v>249.32268295608247</v>
      </c>
      <c r="T125" s="537">
        <v>175.08410432242988</v>
      </c>
      <c r="U125" s="537" t="s">
        <v>60</v>
      </c>
    </row>
    <row r="126" spans="1:21" x14ac:dyDescent="0.2">
      <c r="A126" s="537" t="str">
        <f t="shared" si="2"/>
        <v>Moray.2011.Employment.Day Visitor</v>
      </c>
      <c r="B126" s="537" t="s">
        <v>196</v>
      </c>
      <c r="C126" s="537" t="str">
        <f t="shared" si="3"/>
        <v>2011.Employment.Day Visitor</v>
      </c>
      <c r="D126" s="537" t="s">
        <v>206</v>
      </c>
      <c r="E126" s="537" t="s">
        <v>21</v>
      </c>
      <c r="F126" s="537" t="s">
        <v>73</v>
      </c>
      <c r="G126" s="537" t="s">
        <v>73</v>
      </c>
      <c r="H126" s="537">
        <v>182.6108086274258</v>
      </c>
      <c r="I126" s="537">
        <v>238.96614086307179</v>
      </c>
      <c r="J126" s="537">
        <v>282.72889706566048</v>
      </c>
      <c r="K126" s="537">
        <v>102.93723207035418</v>
      </c>
      <c r="L126" s="537">
        <v>196.61998213898741</v>
      </c>
      <c r="M126" s="537">
        <v>165.30921581745599</v>
      </c>
      <c r="N126" s="537">
        <v>219.39593292879823</v>
      </c>
      <c r="O126" s="537">
        <v>151.1972576393548</v>
      </c>
      <c r="P126" s="537">
        <v>63.387465731939869</v>
      </c>
      <c r="Q126" s="537">
        <v>116.8185564409611</v>
      </c>
      <c r="R126" s="537">
        <v>124.18847898388645</v>
      </c>
      <c r="S126" s="537">
        <v>71.595100526342421</v>
      </c>
      <c r="T126" s="537">
        <v>159.64625573618653</v>
      </c>
      <c r="U126" s="537" t="s">
        <v>60</v>
      </c>
    </row>
    <row r="127" spans="1:21" x14ac:dyDescent="0.2">
      <c r="A127" s="537" t="str">
        <f t="shared" si="2"/>
        <v>Moray.2011.Employment.Direct Employment</v>
      </c>
      <c r="B127" s="537" t="s">
        <v>196</v>
      </c>
      <c r="C127" s="537" t="str">
        <f t="shared" si="3"/>
        <v>2011.Employment.Direct Employment</v>
      </c>
      <c r="D127" s="537" t="s">
        <v>206</v>
      </c>
      <c r="E127" s="537" t="s">
        <v>21</v>
      </c>
      <c r="F127" s="537" t="s">
        <v>56</v>
      </c>
      <c r="G127" s="537" t="s">
        <v>56</v>
      </c>
      <c r="H127" s="537">
        <v>1910.2000925746192</v>
      </c>
      <c r="I127" s="537">
        <v>2027.3176175051135</v>
      </c>
      <c r="J127" s="537">
        <v>2171.3488735806632</v>
      </c>
      <c r="K127" s="537">
        <v>2278.3212566252928</v>
      </c>
      <c r="L127" s="537">
        <v>2343.8101823248894</v>
      </c>
      <c r="M127" s="537">
        <v>2453.438959158912</v>
      </c>
      <c r="N127" s="537">
        <v>2545.3771900689185</v>
      </c>
      <c r="O127" s="537">
        <v>2611.6641148979988</v>
      </c>
      <c r="P127" s="537">
        <v>2156.776650344118</v>
      </c>
      <c r="Q127" s="537">
        <v>2194.689268470594</v>
      </c>
      <c r="R127" s="537">
        <v>1852.2191726537803</v>
      </c>
      <c r="S127" s="537">
        <v>1865.0031194545841</v>
      </c>
      <c r="T127" s="537">
        <v>2200.8472081382906</v>
      </c>
      <c r="U127" s="537" t="s">
        <v>60</v>
      </c>
    </row>
    <row r="128" spans="1:21" x14ac:dyDescent="0.2">
      <c r="A128" s="537" t="str">
        <f t="shared" si="2"/>
        <v>Moray.2011.Employment.Indirect Employment</v>
      </c>
      <c r="B128" s="537" t="s">
        <v>196</v>
      </c>
      <c r="C128" s="537" t="str">
        <f t="shared" si="3"/>
        <v>2011.Employment.Indirect Employment</v>
      </c>
      <c r="D128" s="537" t="s">
        <v>206</v>
      </c>
      <c r="E128" s="537" t="s">
        <v>21</v>
      </c>
      <c r="F128" s="537" t="s">
        <v>54</v>
      </c>
      <c r="G128" s="537" t="s">
        <v>54</v>
      </c>
      <c r="H128" s="537">
        <v>224.72580954034686</v>
      </c>
      <c r="I128" s="537">
        <v>275.98618851282515</v>
      </c>
      <c r="J128" s="537">
        <v>324.10469563700264</v>
      </c>
      <c r="K128" s="537">
        <v>401.7695749590041</v>
      </c>
      <c r="L128" s="537">
        <v>430.43123767480745</v>
      </c>
      <c r="M128" s="537">
        <v>476.05988529273475</v>
      </c>
      <c r="N128" s="537">
        <v>579.52403852928398</v>
      </c>
      <c r="O128" s="537">
        <v>611.083559837233</v>
      </c>
      <c r="P128" s="537">
        <v>365.33311916045079</v>
      </c>
      <c r="Q128" s="537">
        <v>379.71613950901224</v>
      </c>
      <c r="R128" s="537">
        <v>226.55374397276671</v>
      </c>
      <c r="S128" s="537">
        <v>227.00710573657057</v>
      </c>
      <c r="T128" s="537">
        <v>376.85792486350311</v>
      </c>
      <c r="U128" s="537" t="s">
        <v>60</v>
      </c>
    </row>
    <row r="129" spans="1:21" x14ac:dyDescent="0.2">
      <c r="A129" s="537" t="str">
        <f t="shared" si="2"/>
        <v>Moray.2011.Employment.Total</v>
      </c>
      <c r="B129" s="537" t="s">
        <v>196</v>
      </c>
      <c r="C129" s="537" t="str">
        <f t="shared" si="3"/>
        <v>2011.Employment.Total</v>
      </c>
      <c r="D129" s="537" t="s">
        <v>206</v>
      </c>
      <c r="E129" s="537" t="s">
        <v>21</v>
      </c>
      <c r="F129" s="537" t="s">
        <v>55</v>
      </c>
      <c r="G129" s="537" t="s">
        <v>55</v>
      </c>
      <c r="H129" s="537">
        <v>2134.925902114966</v>
      </c>
      <c r="I129" s="537">
        <v>2303.3038060179388</v>
      </c>
      <c r="J129" s="537">
        <v>2495.453569217666</v>
      </c>
      <c r="K129" s="537">
        <v>2680.0908315842971</v>
      </c>
      <c r="L129" s="537">
        <v>2774.241419999697</v>
      </c>
      <c r="M129" s="537">
        <v>2929.4988444516466</v>
      </c>
      <c r="N129" s="537">
        <v>3124.9012285982026</v>
      </c>
      <c r="O129" s="537">
        <v>3222.7476747352321</v>
      </c>
      <c r="P129" s="537">
        <v>2522.1097695045687</v>
      </c>
      <c r="Q129" s="537">
        <v>2574.405407979606</v>
      </c>
      <c r="R129" s="537">
        <v>2078.7729166265472</v>
      </c>
      <c r="S129" s="537">
        <v>2092.0102251911549</v>
      </c>
      <c r="T129" s="537">
        <v>2577.7051330017935</v>
      </c>
      <c r="U129" s="537" t="s">
        <v>60</v>
      </c>
    </row>
    <row r="130" spans="1:21" x14ac:dyDescent="0.2">
      <c r="A130" s="537" t="str">
        <f t="shared" si="2"/>
        <v>Moray.2011.Employment.Accommodation</v>
      </c>
      <c r="B130" s="537" t="s">
        <v>196</v>
      </c>
      <c r="C130" s="537" t="str">
        <f t="shared" si="3"/>
        <v>2011.Employment.Accommodation</v>
      </c>
      <c r="D130" s="537" t="s">
        <v>206</v>
      </c>
      <c r="E130" s="537" t="s">
        <v>21</v>
      </c>
      <c r="F130" s="537" t="s">
        <v>24</v>
      </c>
      <c r="G130" s="537" t="s">
        <v>24</v>
      </c>
      <c r="H130" s="537">
        <v>1301.4674425466587</v>
      </c>
      <c r="I130" s="537">
        <v>1301.0545667453493</v>
      </c>
      <c r="J130" s="537">
        <v>1315.2864399366335</v>
      </c>
      <c r="K130" s="537">
        <v>1358.2814701768393</v>
      </c>
      <c r="L130" s="537">
        <v>1367.6878852284804</v>
      </c>
      <c r="M130" s="537">
        <v>1370.3</v>
      </c>
      <c r="N130" s="537">
        <v>1370.3</v>
      </c>
      <c r="O130" s="537">
        <v>1370.3</v>
      </c>
      <c r="P130" s="537">
        <v>1369.6878852284804</v>
      </c>
      <c r="Q130" s="537">
        <v>1358.7456053211881</v>
      </c>
      <c r="R130" s="537">
        <v>1306.2402939877961</v>
      </c>
      <c r="S130" s="537">
        <v>1293.2518050223921</v>
      </c>
      <c r="T130" s="537">
        <v>1340.2169495161513</v>
      </c>
      <c r="U130" s="537" t="s">
        <v>60</v>
      </c>
    </row>
    <row r="131" spans="1:21" x14ac:dyDescent="0.2">
      <c r="A131" s="537" t="str">
        <f t="shared" si="2"/>
        <v>Moray.2011.Employment.Food &amp; Drink</v>
      </c>
      <c r="B131" s="537" t="s">
        <v>196</v>
      </c>
      <c r="C131" s="537" t="str">
        <f t="shared" si="3"/>
        <v>2011.Employment.Food &amp; Drink</v>
      </c>
      <c r="D131" s="537" t="s">
        <v>206</v>
      </c>
      <c r="E131" s="537" t="s">
        <v>21</v>
      </c>
      <c r="F131" s="537" t="s">
        <v>50</v>
      </c>
      <c r="G131" s="537" t="s">
        <v>50</v>
      </c>
      <c r="H131" s="537">
        <v>224.24333933445556</v>
      </c>
      <c r="I131" s="537">
        <v>270.92045910639257</v>
      </c>
      <c r="J131" s="537">
        <v>319.25178399049702</v>
      </c>
      <c r="K131" s="537">
        <v>283.0214791004413</v>
      </c>
      <c r="L131" s="537">
        <v>308.03297368616285</v>
      </c>
      <c r="M131" s="537">
        <v>333.61891074033849</v>
      </c>
      <c r="N131" s="537">
        <v>351.52140962210569</v>
      </c>
      <c r="O131" s="537">
        <v>382.2402504757722</v>
      </c>
      <c r="P131" s="537">
        <v>246.21337792334086</v>
      </c>
      <c r="Q131" s="537">
        <v>269.75552528040259</v>
      </c>
      <c r="R131" s="537">
        <v>197.25674098973838</v>
      </c>
      <c r="S131" s="537">
        <v>200.1299838159085</v>
      </c>
      <c r="T131" s="537">
        <v>282.18385283879633</v>
      </c>
      <c r="U131" s="537" t="s">
        <v>60</v>
      </c>
    </row>
    <row r="132" spans="1:21" x14ac:dyDescent="0.2">
      <c r="A132" s="537" t="str">
        <f t="shared" si="2"/>
        <v>Moray.2011.Employment.Recreation</v>
      </c>
      <c r="B132" s="537" t="s">
        <v>196</v>
      </c>
      <c r="C132" s="537" t="str">
        <f t="shared" si="3"/>
        <v>2011.Employment.Recreation</v>
      </c>
      <c r="D132" s="537" t="s">
        <v>206</v>
      </c>
      <c r="E132" s="537" t="s">
        <v>21</v>
      </c>
      <c r="F132" s="537" t="s">
        <v>51</v>
      </c>
      <c r="G132" s="537" t="s">
        <v>51</v>
      </c>
      <c r="H132" s="537">
        <v>97.598409938117996</v>
      </c>
      <c r="I132" s="537">
        <v>124.50955735312687</v>
      </c>
      <c r="J132" s="537">
        <v>145.47188405439474</v>
      </c>
      <c r="K132" s="537">
        <v>109.58675501853493</v>
      </c>
      <c r="L132" s="537">
        <v>118.15658586466574</v>
      </c>
      <c r="M132" s="537">
        <v>131.96254357285503</v>
      </c>
      <c r="N132" s="537">
        <v>166.11566242464244</v>
      </c>
      <c r="O132" s="537">
        <v>173.51617347262945</v>
      </c>
      <c r="P132" s="537">
        <v>108.35315047207619</v>
      </c>
      <c r="Q132" s="537">
        <v>130.19377853043537</v>
      </c>
      <c r="R132" s="537">
        <v>90.115863929911839</v>
      </c>
      <c r="S132" s="537">
        <v>80.50428167202999</v>
      </c>
      <c r="T132" s="537">
        <v>123.00705385861836</v>
      </c>
      <c r="U132" s="537" t="s">
        <v>60</v>
      </c>
    </row>
    <row r="133" spans="1:21" x14ac:dyDescent="0.2">
      <c r="A133" s="537" t="str">
        <f t="shared" si="2"/>
        <v>Moray.2011.Employment.Shopping</v>
      </c>
      <c r="B133" s="537" t="s">
        <v>196</v>
      </c>
      <c r="C133" s="537" t="str">
        <f t="shared" si="3"/>
        <v>2011.Employment.Shopping</v>
      </c>
      <c r="D133" s="537" t="s">
        <v>206</v>
      </c>
      <c r="E133" s="537" t="s">
        <v>21</v>
      </c>
      <c r="F133" s="537" t="s">
        <v>52</v>
      </c>
      <c r="G133" s="537" t="s">
        <v>52</v>
      </c>
      <c r="H133" s="537">
        <v>115.9857338023691</v>
      </c>
      <c r="I133" s="537">
        <v>129.67593047314398</v>
      </c>
      <c r="J133" s="537">
        <v>152.95511249828928</v>
      </c>
      <c r="K133" s="537">
        <v>160.36425109612944</v>
      </c>
      <c r="L133" s="537">
        <v>176.00241592418158</v>
      </c>
      <c r="M133" s="537">
        <v>190.71706408273513</v>
      </c>
      <c r="N133" s="537">
        <v>236.74989025155008</v>
      </c>
      <c r="O133" s="537">
        <v>240.8085919744623</v>
      </c>
      <c r="P133" s="537">
        <v>146.22955881333255</v>
      </c>
      <c r="Q133" s="537">
        <v>151.21954125792692</v>
      </c>
      <c r="R133" s="537">
        <v>102.63604280522286</v>
      </c>
      <c r="S133" s="537">
        <v>121.53496554397061</v>
      </c>
      <c r="T133" s="537">
        <v>160.40659154360949</v>
      </c>
      <c r="U133" s="537" t="s">
        <v>60</v>
      </c>
    </row>
    <row r="134" spans="1:21" x14ac:dyDescent="0.2">
      <c r="A134" s="537" t="str">
        <f t="shared" si="2"/>
        <v>Moray.2011.Employment.Transport</v>
      </c>
      <c r="B134" s="537" t="s">
        <v>196</v>
      </c>
      <c r="C134" s="537" t="str">
        <f t="shared" si="3"/>
        <v>2011.Employment.Transport</v>
      </c>
      <c r="D134" s="537" t="s">
        <v>206</v>
      </c>
      <c r="E134" s="537" t="s">
        <v>21</v>
      </c>
      <c r="F134" s="537" t="s">
        <v>53</v>
      </c>
      <c r="G134" s="537" t="s">
        <v>53</v>
      </c>
      <c r="H134" s="537">
        <v>170.90516695301787</v>
      </c>
      <c r="I134" s="537">
        <v>201.15710382710083</v>
      </c>
      <c r="J134" s="537">
        <v>238.38365310084868</v>
      </c>
      <c r="K134" s="537">
        <v>367.06730123334808</v>
      </c>
      <c r="L134" s="537">
        <v>373.93032162139917</v>
      </c>
      <c r="M134" s="537">
        <v>426.84044076298375</v>
      </c>
      <c r="N134" s="537">
        <v>420.69022777062042</v>
      </c>
      <c r="O134" s="537">
        <v>444.79909897513483</v>
      </c>
      <c r="P134" s="537">
        <v>286.29267790688817</v>
      </c>
      <c r="Q134" s="537">
        <v>284.77481808064147</v>
      </c>
      <c r="R134" s="537">
        <v>155.9702309411112</v>
      </c>
      <c r="S134" s="537">
        <v>169.58208340028293</v>
      </c>
      <c r="T134" s="537">
        <v>295.03276038111477</v>
      </c>
      <c r="U134" s="537" t="s">
        <v>60</v>
      </c>
    </row>
    <row r="135" spans="1:21" x14ac:dyDescent="0.2">
      <c r="A135" s="537" t="str">
        <f t="shared" si="2"/>
        <v>Moray.2011.Visitor Days.Serviced Accommodation</v>
      </c>
      <c r="B135" s="537" t="s">
        <v>196</v>
      </c>
      <c r="C135" s="537" t="str">
        <f t="shared" si="3"/>
        <v>2011.Visitor Days.Serviced Accommodation</v>
      </c>
      <c r="D135" s="537" t="s">
        <v>206</v>
      </c>
      <c r="E135" s="537" t="s">
        <v>175</v>
      </c>
      <c r="F135" s="537" t="s">
        <v>44</v>
      </c>
      <c r="G135" s="537" t="s">
        <v>44</v>
      </c>
      <c r="H135" s="537">
        <v>14.030926735202081</v>
      </c>
      <c r="I135" s="537">
        <v>24.109308216660569</v>
      </c>
      <c r="J135" s="537">
        <v>27.044096397515553</v>
      </c>
      <c r="K135" s="537">
        <v>30.193185668176326</v>
      </c>
      <c r="L135" s="537">
        <v>36.039078859559183</v>
      </c>
      <c r="M135" s="537">
        <v>39.076283480977594</v>
      </c>
      <c r="N135" s="537">
        <v>44.687668589215505</v>
      </c>
      <c r="O135" s="537">
        <v>45.543674283546295</v>
      </c>
      <c r="P135" s="537">
        <v>38.298279312238293</v>
      </c>
      <c r="Q135" s="537">
        <v>40.860489297757887</v>
      </c>
      <c r="R135" s="537">
        <v>26.621435201067278</v>
      </c>
      <c r="S135" s="537">
        <v>23.482508737690573</v>
      </c>
      <c r="T135" s="537">
        <v>389.98693477960717</v>
      </c>
      <c r="U135" s="537" t="s">
        <v>62</v>
      </c>
    </row>
    <row r="136" spans="1:21" x14ac:dyDescent="0.2">
      <c r="A136" s="537" t="str">
        <f t="shared" si="2"/>
        <v>Moray.2011.Visitor Days.Non-Serviced Accommodation</v>
      </c>
      <c r="B136" s="537" t="s">
        <v>196</v>
      </c>
      <c r="C136" s="537" t="str">
        <f t="shared" si="3"/>
        <v>2011.Visitor Days.Non-Serviced Accommodation</v>
      </c>
      <c r="D136" s="537" t="s">
        <v>206</v>
      </c>
      <c r="E136" s="537" t="s">
        <v>175</v>
      </c>
      <c r="F136" s="537" t="s">
        <v>49</v>
      </c>
      <c r="G136" s="537" t="s">
        <v>49</v>
      </c>
      <c r="H136" s="537">
        <v>8.0525332073912281</v>
      </c>
      <c r="I136" s="537">
        <v>9.41639947239495</v>
      </c>
      <c r="J136" s="537">
        <v>11.345515846411701</v>
      </c>
      <c r="K136" s="537">
        <v>61.573721850609211</v>
      </c>
      <c r="L136" s="537">
        <v>63.952232277837041</v>
      </c>
      <c r="M136" s="537">
        <v>72.777179697603415</v>
      </c>
      <c r="N136" s="537">
        <v>83.502689252797524</v>
      </c>
      <c r="O136" s="537">
        <v>86.46112763157511</v>
      </c>
      <c r="P136" s="537">
        <v>58.172868273899915</v>
      </c>
      <c r="Q136" s="537">
        <v>47.191498214681459</v>
      </c>
      <c r="R136" s="537">
        <v>10.072194839921949</v>
      </c>
      <c r="S136" s="537">
        <v>8.2412073619631894</v>
      </c>
      <c r="T136" s="537">
        <v>520.75916792708676</v>
      </c>
      <c r="U136" s="537" t="s">
        <v>62</v>
      </c>
    </row>
    <row r="137" spans="1:21" x14ac:dyDescent="0.2">
      <c r="A137" s="537" t="str">
        <f t="shared" ref="A137:A200" si="4">B137&amp;"."&amp;D137&amp;"."&amp;E137&amp;"."&amp;F137</f>
        <v>Moray.2011.Visitor Days.SFR</v>
      </c>
      <c r="B137" s="537" t="s">
        <v>196</v>
      </c>
      <c r="C137" s="537" t="str">
        <f t="shared" ref="C137:C200" si="5">D137&amp;"."&amp;E137&amp;"."&amp;F137</f>
        <v>2011.Visitor Days.SFR</v>
      </c>
      <c r="D137" s="537" t="s">
        <v>206</v>
      </c>
      <c r="E137" s="537" t="s">
        <v>175</v>
      </c>
      <c r="F137" s="537" t="s">
        <v>19</v>
      </c>
      <c r="G137" s="537" t="s">
        <v>19</v>
      </c>
      <c r="H137" s="537">
        <v>31.821378646661355</v>
      </c>
      <c r="I137" s="537">
        <v>20.321812866952833</v>
      </c>
      <c r="J137" s="537">
        <v>23.632293837140601</v>
      </c>
      <c r="K137" s="537">
        <v>43.570982751022385</v>
      </c>
      <c r="L137" s="537">
        <v>33.218189045897134</v>
      </c>
      <c r="M137" s="537">
        <v>45.522035937502821</v>
      </c>
      <c r="N137" s="537">
        <v>48.886532484198412</v>
      </c>
      <c r="O137" s="537">
        <v>87.258125572363738</v>
      </c>
      <c r="P137" s="537">
        <v>35.138354462054195</v>
      </c>
      <c r="Q137" s="537">
        <v>31.005614814386604</v>
      </c>
      <c r="R137" s="537">
        <v>27.54199434068482</v>
      </c>
      <c r="S137" s="537">
        <v>67.486311362999373</v>
      </c>
      <c r="T137" s="537">
        <v>495.40362612186425</v>
      </c>
      <c r="U137" s="537" t="s">
        <v>62</v>
      </c>
    </row>
    <row r="138" spans="1:21" x14ac:dyDescent="0.2">
      <c r="A138" s="537" t="str">
        <f t="shared" si="4"/>
        <v>Moray.2011.Visitor Days.Day Visitor</v>
      </c>
      <c r="B138" s="537" t="s">
        <v>196</v>
      </c>
      <c r="C138" s="537" t="str">
        <f t="shared" si="5"/>
        <v>2011.Visitor Days.Day Visitor</v>
      </c>
      <c r="D138" s="537" t="s">
        <v>206</v>
      </c>
      <c r="E138" s="537" t="s">
        <v>175</v>
      </c>
      <c r="F138" s="537" t="s">
        <v>73</v>
      </c>
      <c r="G138" s="537" t="s">
        <v>73</v>
      </c>
      <c r="H138" s="537">
        <v>20.445985196343745</v>
      </c>
      <c r="I138" s="537">
        <v>26.755799479987413</v>
      </c>
      <c r="J138" s="537">
        <v>31.655688332102958</v>
      </c>
      <c r="K138" s="537">
        <v>16.651137464047892</v>
      </c>
      <c r="L138" s="537">
        <v>31.805268948141975</v>
      </c>
      <c r="M138" s="537">
        <v>26.740436101576133</v>
      </c>
      <c r="N138" s="537">
        <v>29.864265215162376</v>
      </c>
      <c r="O138" s="537">
        <v>20.581033302072804</v>
      </c>
      <c r="P138" s="537">
        <v>8.6283280763915595</v>
      </c>
      <c r="Q138" s="537">
        <v>13.079567927018203</v>
      </c>
      <c r="R138" s="537">
        <v>13.904739932681293</v>
      </c>
      <c r="S138" s="537">
        <v>8.0161321035434625</v>
      </c>
      <c r="T138" s="537">
        <v>248.12838207906981</v>
      </c>
      <c r="U138" s="537" t="s">
        <v>62</v>
      </c>
    </row>
    <row r="139" spans="1:21" x14ac:dyDescent="0.2">
      <c r="A139" s="537" t="str">
        <f t="shared" si="4"/>
        <v>Moray.2011.Visitor Days.Total</v>
      </c>
      <c r="B139" s="537" t="s">
        <v>196</v>
      </c>
      <c r="C139" s="537" t="str">
        <f t="shared" si="5"/>
        <v>2011.Visitor Days.Total</v>
      </c>
      <c r="D139" s="537" t="s">
        <v>206</v>
      </c>
      <c r="E139" s="537" t="s">
        <v>175</v>
      </c>
      <c r="F139" s="537" t="s">
        <v>55</v>
      </c>
      <c r="G139" s="537" t="s">
        <v>55</v>
      </c>
      <c r="H139" s="537">
        <v>74.350823785598408</v>
      </c>
      <c r="I139" s="537">
        <v>80.603320035995765</v>
      </c>
      <c r="J139" s="537">
        <v>93.677594413170809</v>
      </c>
      <c r="K139" s="537">
        <v>151.98902773385583</v>
      </c>
      <c r="L139" s="537">
        <v>165.01476913143534</v>
      </c>
      <c r="M139" s="537">
        <v>184.11593521765997</v>
      </c>
      <c r="N139" s="537">
        <v>206.94115554137386</v>
      </c>
      <c r="O139" s="537">
        <v>239.84396078955791</v>
      </c>
      <c r="P139" s="537">
        <v>140.23783012458398</v>
      </c>
      <c r="Q139" s="537">
        <v>132.13717025384415</v>
      </c>
      <c r="R139" s="537">
        <v>78.140364314355338</v>
      </c>
      <c r="S139" s="537">
        <v>107.2261595661966</v>
      </c>
      <c r="T139" s="537">
        <v>1654.2781109076282</v>
      </c>
      <c r="U139" s="537" t="s">
        <v>62</v>
      </c>
    </row>
    <row r="140" spans="1:21" x14ac:dyDescent="0.2">
      <c r="A140" s="537" t="str">
        <f t="shared" si="4"/>
        <v>Moray.2011.Visitor Numbers.Serviced Accommodation</v>
      </c>
      <c r="B140" s="537" t="s">
        <v>196</v>
      </c>
      <c r="C140" s="537" t="str">
        <f t="shared" si="5"/>
        <v>2011.Visitor Numbers.Serviced Accommodation</v>
      </c>
      <c r="D140" s="537" t="s">
        <v>206</v>
      </c>
      <c r="E140" s="537" t="s">
        <v>176</v>
      </c>
      <c r="F140" s="537" t="s">
        <v>44</v>
      </c>
      <c r="G140" s="537" t="s">
        <v>44</v>
      </c>
      <c r="H140" s="537">
        <v>6.6851413652681373</v>
      </c>
      <c r="I140" s="537">
        <v>12.764109069750473</v>
      </c>
      <c r="J140" s="537">
        <v>12.7502270538575</v>
      </c>
      <c r="K140" s="537">
        <v>16.220982755031287</v>
      </c>
      <c r="L140" s="537">
        <v>19.975432319687535</v>
      </c>
      <c r="M140" s="537">
        <v>20.684780037793743</v>
      </c>
      <c r="N140" s="537">
        <v>24.625517670193908</v>
      </c>
      <c r="O140" s="537">
        <v>25.387720013162124</v>
      </c>
      <c r="P140" s="537">
        <v>20.461523940845712</v>
      </c>
      <c r="Q140" s="537">
        <v>20.252382990976734</v>
      </c>
      <c r="R140" s="537">
        <v>13.856097889026472</v>
      </c>
      <c r="S140" s="537">
        <v>11.270166319490203</v>
      </c>
      <c r="T140" s="537">
        <v>204.93408142508386</v>
      </c>
      <c r="U140" s="537" t="s">
        <v>62</v>
      </c>
    </row>
    <row r="141" spans="1:21" x14ac:dyDescent="0.2">
      <c r="A141" s="537" t="str">
        <f t="shared" si="4"/>
        <v>Moray.2011.Visitor Numbers.Non-Serviced Accommodation</v>
      </c>
      <c r="B141" s="537" t="s">
        <v>196</v>
      </c>
      <c r="C141" s="537" t="str">
        <f t="shared" si="5"/>
        <v>2011.Visitor Numbers.Non-Serviced Accommodation</v>
      </c>
      <c r="D141" s="537" t="s">
        <v>206</v>
      </c>
      <c r="E141" s="537" t="s">
        <v>176</v>
      </c>
      <c r="F141" s="537" t="s">
        <v>49</v>
      </c>
      <c r="G141" s="537" t="s">
        <v>49</v>
      </c>
      <c r="H141" s="537">
        <v>0.74923710915611585</v>
      </c>
      <c r="I141" s="537">
        <v>1.3547661531688271</v>
      </c>
      <c r="J141" s="537">
        <v>1.2384062468506707</v>
      </c>
      <c r="K141" s="537">
        <v>8.4728104529208235</v>
      </c>
      <c r="L141" s="537">
        <v>9.1204790474971169</v>
      </c>
      <c r="M141" s="537">
        <v>8.8450737492085096</v>
      </c>
      <c r="N141" s="537">
        <v>10.874929733229443</v>
      </c>
      <c r="O141" s="537">
        <v>10.077584831988403</v>
      </c>
      <c r="P141" s="537">
        <v>7.3296984353424417</v>
      </c>
      <c r="Q141" s="537">
        <v>6.4302846782803869</v>
      </c>
      <c r="R141" s="537">
        <v>1.3450301317055158</v>
      </c>
      <c r="S141" s="537">
        <v>0.94196178466311253</v>
      </c>
      <c r="T141" s="537">
        <v>66.780262354011356</v>
      </c>
      <c r="U141" s="537" t="s">
        <v>62</v>
      </c>
    </row>
    <row r="142" spans="1:21" x14ac:dyDescent="0.2">
      <c r="A142" s="537" t="str">
        <f t="shared" si="4"/>
        <v>Moray.2011.Visitor Numbers.SFR</v>
      </c>
      <c r="B142" s="537" t="s">
        <v>196</v>
      </c>
      <c r="C142" s="537" t="str">
        <f t="shared" si="5"/>
        <v>2011.Visitor Numbers.SFR</v>
      </c>
      <c r="D142" s="537" t="s">
        <v>206</v>
      </c>
      <c r="E142" s="537" t="s">
        <v>176</v>
      </c>
      <c r="F142" s="537" t="s">
        <v>19</v>
      </c>
      <c r="G142" s="537" t="s">
        <v>19</v>
      </c>
      <c r="H142" s="537">
        <v>8.4406839911568579</v>
      </c>
      <c r="I142" s="537">
        <v>5.8903805411457482</v>
      </c>
      <c r="J142" s="537">
        <v>7.0334207848632744</v>
      </c>
      <c r="K142" s="537">
        <v>11.086764058784322</v>
      </c>
      <c r="L142" s="537">
        <v>8.3884315772467506</v>
      </c>
      <c r="M142" s="537">
        <v>9.0501065482112963</v>
      </c>
      <c r="N142" s="537">
        <v>7.1367200706859002</v>
      </c>
      <c r="O142" s="537">
        <v>13.507449779003675</v>
      </c>
      <c r="P142" s="537">
        <v>8.190758615863448</v>
      </c>
      <c r="Q142" s="537">
        <v>8.2902713407450808</v>
      </c>
      <c r="R142" s="537">
        <v>7.4639551058766447</v>
      </c>
      <c r="S142" s="537">
        <v>15.09760880604013</v>
      </c>
      <c r="T142" s="537">
        <v>109.57655121962313</v>
      </c>
      <c r="U142" s="537" t="s">
        <v>62</v>
      </c>
    </row>
    <row r="143" spans="1:21" x14ac:dyDescent="0.2">
      <c r="A143" s="537" t="str">
        <f t="shared" si="4"/>
        <v>Moray.2011.Visitor Numbers.Day Visitor</v>
      </c>
      <c r="B143" s="537" t="s">
        <v>196</v>
      </c>
      <c r="C143" s="537" t="str">
        <f t="shared" si="5"/>
        <v>2011.Visitor Numbers.Day Visitor</v>
      </c>
      <c r="D143" s="537" t="s">
        <v>206</v>
      </c>
      <c r="E143" s="537" t="s">
        <v>176</v>
      </c>
      <c r="F143" s="537" t="s">
        <v>73</v>
      </c>
      <c r="G143" s="537" t="s">
        <v>73</v>
      </c>
      <c r="H143" s="537">
        <v>20.445985196343745</v>
      </c>
      <c r="I143" s="537">
        <v>26.755799479987413</v>
      </c>
      <c r="J143" s="537">
        <v>31.655688332102958</v>
      </c>
      <c r="K143" s="537">
        <v>16.651137464047892</v>
      </c>
      <c r="L143" s="537">
        <v>31.805268948141975</v>
      </c>
      <c r="M143" s="537">
        <v>26.740436101576133</v>
      </c>
      <c r="N143" s="537">
        <v>29.864265215162376</v>
      </c>
      <c r="O143" s="537">
        <v>20.581033302072804</v>
      </c>
      <c r="P143" s="537">
        <v>8.6283280763915595</v>
      </c>
      <c r="Q143" s="537">
        <v>13.079567927018203</v>
      </c>
      <c r="R143" s="537">
        <v>13.904739932681293</v>
      </c>
      <c r="S143" s="537">
        <v>8.0161321035434625</v>
      </c>
      <c r="T143" s="537">
        <v>248.12838207906981</v>
      </c>
      <c r="U143" s="537" t="s">
        <v>62</v>
      </c>
    </row>
    <row r="144" spans="1:21" x14ac:dyDescent="0.2">
      <c r="A144" s="537" t="str">
        <f t="shared" si="4"/>
        <v>Moray.2011.Visitor Numbers.Total</v>
      </c>
      <c r="B144" s="537" t="s">
        <v>196</v>
      </c>
      <c r="C144" s="537" t="str">
        <f t="shared" si="5"/>
        <v>2011.Visitor Numbers.Total</v>
      </c>
      <c r="D144" s="537" t="s">
        <v>206</v>
      </c>
      <c r="E144" s="537" t="s">
        <v>176</v>
      </c>
      <c r="F144" s="537" t="s">
        <v>55</v>
      </c>
      <c r="G144" s="537" t="s">
        <v>55</v>
      </c>
      <c r="H144" s="537">
        <v>36.321047661924858</v>
      </c>
      <c r="I144" s="537">
        <v>46.765055244052462</v>
      </c>
      <c r="J144" s="537">
        <v>52.677742417674409</v>
      </c>
      <c r="K144" s="537">
        <v>52.431694730784329</v>
      </c>
      <c r="L144" s="537">
        <v>69.289611892573376</v>
      </c>
      <c r="M144" s="537">
        <v>65.320396436789679</v>
      </c>
      <c r="N144" s="537">
        <v>72.501432689271624</v>
      </c>
      <c r="O144" s="537">
        <v>69.553787926227017</v>
      </c>
      <c r="P144" s="537">
        <v>44.610309068443165</v>
      </c>
      <c r="Q144" s="537">
        <v>48.052506937020404</v>
      </c>
      <c r="R144" s="537">
        <v>36.569823059289924</v>
      </c>
      <c r="S144" s="537">
        <v>35.325869013736906</v>
      </c>
      <c r="T144" s="537">
        <v>629.41927707778814</v>
      </c>
      <c r="U144" s="537" t="s">
        <v>62</v>
      </c>
    </row>
    <row r="145" spans="1:21" x14ac:dyDescent="0.2">
      <c r="A145" s="537" t="str">
        <f t="shared" si="4"/>
        <v>Moray.2011.Vehicle Days.Serviced Accommodation</v>
      </c>
      <c r="B145" s="537" t="s">
        <v>196</v>
      </c>
      <c r="C145" s="537" t="str">
        <f t="shared" si="5"/>
        <v>2011.Vehicle Days.Serviced Accommodation</v>
      </c>
      <c r="D145" s="537" t="s">
        <v>206</v>
      </c>
      <c r="E145" s="537" t="s">
        <v>22</v>
      </c>
      <c r="F145" s="537" t="s">
        <v>44</v>
      </c>
      <c r="G145" s="537" t="s">
        <v>44</v>
      </c>
      <c r="H145" s="537">
        <v>3.0392366539613667</v>
      </c>
      <c r="I145" s="537">
        <v>5.5395882213033607</v>
      </c>
      <c r="J145" s="537">
        <v>6.2123363592182832</v>
      </c>
      <c r="K145" s="537">
        <v>6.1029252596253949</v>
      </c>
      <c r="L145" s="537">
        <v>7.7084504518739951</v>
      </c>
      <c r="M145" s="537">
        <v>7.8597415053750543</v>
      </c>
      <c r="N145" s="537">
        <v>9.3308278312883601</v>
      </c>
      <c r="O145" s="537">
        <v>9.5014637328566529</v>
      </c>
      <c r="P145" s="537">
        <v>8.1289206632219599</v>
      </c>
      <c r="Q145" s="537">
        <v>8.7494084980305669</v>
      </c>
      <c r="R145" s="537">
        <v>5.7544516433633079</v>
      </c>
      <c r="S145" s="537">
        <v>5.0202919468207439</v>
      </c>
      <c r="T145" s="537">
        <v>82.947642766939055</v>
      </c>
      <c r="U145" s="537" t="s">
        <v>62</v>
      </c>
    </row>
    <row r="146" spans="1:21" x14ac:dyDescent="0.2">
      <c r="A146" s="537" t="str">
        <f t="shared" si="4"/>
        <v>Moray.2011.Vehicle Days.Non-Serviced Accommodation</v>
      </c>
      <c r="B146" s="537" t="s">
        <v>196</v>
      </c>
      <c r="C146" s="537" t="str">
        <f t="shared" si="5"/>
        <v>2011.Vehicle Days.Non-Serviced Accommodation</v>
      </c>
      <c r="D146" s="537" t="s">
        <v>206</v>
      </c>
      <c r="E146" s="537" t="s">
        <v>22</v>
      </c>
      <c r="F146" s="537" t="s">
        <v>49</v>
      </c>
      <c r="G146" s="537" t="s">
        <v>49</v>
      </c>
      <c r="H146" s="537">
        <v>1.688434382194935</v>
      </c>
      <c r="I146" s="537">
        <v>1.8547453506232479</v>
      </c>
      <c r="J146" s="537">
        <v>2.5429604483336572</v>
      </c>
      <c r="K146" s="537">
        <v>9.7496514664155995</v>
      </c>
      <c r="L146" s="537">
        <v>11.698165324506569</v>
      </c>
      <c r="M146" s="537">
        <v>12.15458525095581</v>
      </c>
      <c r="N146" s="537">
        <v>14.751166084609114</v>
      </c>
      <c r="O146" s="537">
        <v>15.331695820062023</v>
      </c>
      <c r="P146" s="537">
        <v>10.803532679438558</v>
      </c>
      <c r="Q146" s="537">
        <v>8.7641353827265576</v>
      </c>
      <c r="R146" s="537">
        <v>1.870550470271219</v>
      </c>
      <c r="S146" s="537">
        <v>1.5305099386503067</v>
      </c>
      <c r="T146" s="537">
        <v>92.740132598787596</v>
      </c>
      <c r="U146" s="537" t="s">
        <v>62</v>
      </c>
    </row>
    <row r="147" spans="1:21" x14ac:dyDescent="0.2">
      <c r="A147" s="537" t="str">
        <f t="shared" si="4"/>
        <v>Moray.2011.Vehicle Days.SFR</v>
      </c>
      <c r="B147" s="537" t="s">
        <v>196</v>
      </c>
      <c r="C147" s="537" t="str">
        <f t="shared" si="5"/>
        <v>2011.Vehicle Days.SFR</v>
      </c>
      <c r="D147" s="537" t="s">
        <v>206</v>
      </c>
      <c r="E147" s="537" t="s">
        <v>22</v>
      </c>
      <c r="F147" s="537" t="s">
        <v>19</v>
      </c>
      <c r="G147" s="537" t="s">
        <v>19</v>
      </c>
      <c r="H147" s="537">
        <v>8.9099860210651798</v>
      </c>
      <c r="I147" s="537">
        <v>5.1728250934061757</v>
      </c>
      <c r="J147" s="537">
        <v>5.5142018953328069</v>
      </c>
      <c r="K147" s="537">
        <v>10.166562641905223</v>
      </c>
      <c r="L147" s="537">
        <v>6.6436378091794266</v>
      </c>
      <c r="M147" s="537">
        <v>9.8047462019236846</v>
      </c>
      <c r="N147" s="537">
        <v>9.7773064968396817</v>
      </c>
      <c r="O147" s="537">
        <v>17.451625114472744</v>
      </c>
      <c r="P147" s="537">
        <v>8.1989493744793123</v>
      </c>
      <c r="Q147" s="537">
        <v>7.2346434566902067</v>
      </c>
      <c r="R147" s="537">
        <v>6.4264653461597909</v>
      </c>
      <c r="S147" s="537">
        <v>15.746805984699854</v>
      </c>
      <c r="T147" s="537">
        <v>111.04775543615409</v>
      </c>
      <c r="U147" s="537" t="s">
        <v>62</v>
      </c>
    </row>
    <row r="148" spans="1:21" x14ac:dyDescent="0.2">
      <c r="A148" s="537" t="str">
        <f t="shared" si="4"/>
        <v>Moray.2011.Vehicle Days.Day Visitor</v>
      </c>
      <c r="B148" s="537" t="s">
        <v>196</v>
      </c>
      <c r="C148" s="537" t="str">
        <f t="shared" si="5"/>
        <v>2011.Vehicle Days.Day Visitor</v>
      </c>
      <c r="D148" s="537" t="s">
        <v>206</v>
      </c>
      <c r="E148" s="537" t="s">
        <v>22</v>
      </c>
      <c r="F148" s="537" t="s">
        <v>73</v>
      </c>
      <c r="G148" s="537" t="s">
        <v>73</v>
      </c>
      <c r="H148" s="537">
        <v>4.673368044878571</v>
      </c>
      <c r="I148" s="537">
        <v>6.1156113097114089</v>
      </c>
      <c r="J148" s="537">
        <v>6.7532135108486315</v>
      </c>
      <c r="K148" s="537">
        <v>3.3302274928095787</v>
      </c>
      <c r="L148" s="537">
        <v>6.3610537896283956</v>
      </c>
      <c r="M148" s="537">
        <v>5.4852176618617712</v>
      </c>
      <c r="N148" s="537">
        <v>5.6884314695547387</v>
      </c>
      <c r="O148" s="537">
        <v>3.920196819442439</v>
      </c>
      <c r="P148" s="537">
        <v>1.8407099896301995</v>
      </c>
      <c r="Q148" s="537">
        <v>2.7903078244305504</v>
      </c>
      <c r="R148" s="537">
        <v>2.9663445189720097</v>
      </c>
      <c r="S148" s="537">
        <v>1.7101081820892721</v>
      </c>
      <c r="T148" s="537">
        <v>51.634790613857561</v>
      </c>
      <c r="U148" s="537" t="s">
        <v>62</v>
      </c>
    </row>
    <row r="149" spans="1:21" x14ac:dyDescent="0.2">
      <c r="A149" s="537" t="str">
        <f t="shared" si="4"/>
        <v>Moray.2011.Vehicle Days.Total</v>
      </c>
      <c r="B149" s="537" t="s">
        <v>196</v>
      </c>
      <c r="C149" s="537" t="str">
        <f t="shared" si="5"/>
        <v>2011.Vehicle Days.Total</v>
      </c>
      <c r="D149" s="537" t="s">
        <v>206</v>
      </c>
      <c r="E149" s="537" t="s">
        <v>22</v>
      </c>
      <c r="F149" s="537" t="s">
        <v>55</v>
      </c>
      <c r="G149" s="537" t="s">
        <v>55</v>
      </c>
      <c r="H149" s="537">
        <v>18.311025102100054</v>
      </c>
      <c r="I149" s="537">
        <v>18.682769975044192</v>
      </c>
      <c r="J149" s="537">
        <v>21.022712213733378</v>
      </c>
      <c r="K149" s="537">
        <v>29.349366860755794</v>
      </c>
      <c r="L149" s="537">
        <v>32.411307375188386</v>
      </c>
      <c r="M149" s="537">
        <v>35.304290620116319</v>
      </c>
      <c r="N149" s="537">
        <v>39.547731882291892</v>
      </c>
      <c r="O149" s="537">
        <v>46.204981486833859</v>
      </c>
      <c r="P149" s="537">
        <v>28.972112706770027</v>
      </c>
      <c r="Q149" s="537">
        <v>27.538495161877883</v>
      </c>
      <c r="R149" s="537">
        <v>17.017811978766325</v>
      </c>
      <c r="S149" s="537">
        <v>24.007716052260179</v>
      </c>
      <c r="T149" s="537">
        <v>338.37032141573832</v>
      </c>
      <c r="U149" s="537" t="s">
        <v>62</v>
      </c>
    </row>
    <row r="150" spans="1:21" x14ac:dyDescent="0.2">
      <c r="A150" s="537" t="str">
        <f t="shared" si="4"/>
        <v>Moray.2011.Vehicle Numbers.Serviced Accommodation</v>
      </c>
      <c r="B150" s="537" t="s">
        <v>196</v>
      </c>
      <c r="C150" s="537" t="str">
        <f t="shared" si="5"/>
        <v>2011.Vehicle Numbers.Serviced Accommodation</v>
      </c>
      <c r="D150" s="537" t="s">
        <v>206</v>
      </c>
      <c r="E150" s="537" t="s">
        <v>23</v>
      </c>
      <c r="F150" s="537" t="s">
        <v>44</v>
      </c>
      <c r="G150" s="537" t="s">
        <v>44</v>
      </c>
      <c r="H150" s="537">
        <v>1.4492237786015247</v>
      </c>
      <c r="I150" s="537">
        <v>2.9307415850291738</v>
      </c>
      <c r="J150" s="537">
        <v>2.9214638696140489</v>
      </c>
      <c r="K150" s="537">
        <v>3.2763451264613628</v>
      </c>
      <c r="L150" s="537">
        <v>4.2713746341588203</v>
      </c>
      <c r="M150" s="537">
        <v>4.1479147239313674</v>
      </c>
      <c r="N150" s="537">
        <v>5.1366850443725793</v>
      </c>
      <c r="O150" s="537">
        <v>5.2932710312706988</v>
      </c>
      <c r="P150" s="537">
        <v>4.3419472803080685</v>
      </c>
      <c r="Q150" s="537">
        <v>4.3528740711721934</v>
      </c>
      <c r="R150" s="537">
        <v>2.9932576528020798</v>
      </c>
      <c r="S150" s="537">
        <v>2.4426941625230372</v>
      </c>
      <c r="T150" s="537">
        <v>43.55779296024496</v>
      </c>
      <c r="U150" s="537" t="s">
        <v>62</v>
      </c>
    </row>
    <row r="151" spans="1:21" x14ac:dyDescent="0.2">
      <c r="A151" s="537" t="str">
        <f t="shared" si="4"/>
        <v>Moray.2011.Vehicle Numbers.Non-Serviced Accommodation</v>
      </c>
      <c r="B151" s="537" t="s">
        <v>196</v>
      </c>
      <c r="C151" s="537" t="str">
        <f t="shared" si="5"/>
        <v>2011.Vehicle Numbers.Non-Serviced Accommodation</v>
      </c>
      <c r="D151" s="537" t="s">
        <v>206</v>
      </c>
      <c r="E151" s="537" t="s">
        <v>23</v>
      </c>
      <c r="F151" s="537" t="s">
        <v>49</v>
      </c>
      <c r="G151" s="537" t="s">
        <v>49</v>
      </c>
      <c r="H151" s="537">
        <v>0.15709810353273396</v>
      </c>
      <c r="I151" s="537">
        <v>0.26684787865446596</v>
      </c>
      <c r="J151" s="537">
        <v>0.27757381394928826</v>
      </c>
      <c r="K151" s="537">
        <v>1.3415942121771156</v>
      </c>
      <c r="L151" s="537">
        <v>1.6683213069529461</v>
      </c>
      <c r="M151" s="537">
        <v>1.4772240884086696</v>
      </c>
      <c r="N151" s="537">
        <v>1.9211105185806581</v>
      </c>
      <c r="O151" s="537">
        <v>1.787004975268125</v>
      </c>
      <c r="P151" s="537">
        <v>1.3612297094207393</v>
      </c>
      <c r="Q151" s="537">
        <v>1.1941957259663574</v>
      </c>
      <c r="R151" s="537">
        <v>0.24979131017388151</v>
      </c>
      <c r="S151" s="537">
        <v>0.17493576000886377</v>
      </c>
      <c r="T151" s="537">
        <v>11.876927403093845</v>
      </c>
      <c r="U151" s="537" t="s">
        <v>62</v>
      </c>
    </row>
    <row r="152" spans="1:21" x14ac:dyDescent="0.2">
      <c r="A152" s="537" t="str">
        <f t="shared" si="4"/>
        <v>Moray.2011.Vehicle Numbers.SFR</v>
      </c>
      <c r="B152" s="537" t="s">
        <v>196</v>
      </c>
      <c r="C152" s="537" t="str">
        <f t="shared" si="5"/>
        <v>2011.Vehicle Numbers.SFR</v>
      </c>
      <c r="D152" s="537" t="s">
        <v>206</v>
      </c>
      <c r="E152" s="537" t="s">
        <v>23</v>
      </c>
      <c r="F152" s="537" t="s">
        <v>19</v>
      </c>
      <c r="G152" s="537" t="s">
        <v>19</v>
      </c>
      <c r="H152" s="537">
        <v>2.3633915175239202</v>
      </c>
      <c r="I152" s="537">
        <v>1.499369592291645</v>
      </c>
      <c r="J152" s="537">
        <v>1.6411315164680971</v>
      </c>
      <c r="K152" s="537">
        <v>2.5869116137163419</v>
      </c>
      <c r="L152" s="537">
        <v>1.67768631544935</v>
      </c>
      <c r="M152" s="537">
        <v>1.949253718076279</v>
      </c>
      <c r="N152" s="537">
        <v>1.42734401413718</v>
      </c>
      <c r="O152" s="537">
        <v>2.7014899558007346</v>
      </c>
      <c r="P152" s="537">
        <v>1.9111770103681376</v>
      </c>
      <c r="Q152" s="537">
        <v>1.934396646173852</v>
      </c>
      <c r="R152" s="537">
        <v>1.7415895247045505</v>
      </c>
      <c r="S152" s="537">
        <v>3.5227753880760297</v>
      </c>
      <c r="T152" s="537">
        <v>24.95651681278612</v>
      </c>
      <c r="U152" s="537" t="s">
        <v>62</v>
      </c>
    </row>
    <row r="153" spans="1:21" x14ac:dyDescent="0.2">
      <c r="A153" s="537" t="str">
        <f t="shared" si="4"/>
        <v>Moray.2011.Vehicle Numbers.Day Visitor</v>
      </c>
      <c r="B153" s="537" t="s">
        <v>196</v>
      </c>
      <c r="C153" s="537" t="str">
        <f t="shared" si="5"/>
        <v>2011.Vehicle Numbers.Day Visitor</v>
      </c>
      <c r="D153" s="537" t="s">
        <v>206</v>
      </c>
      <c r="E153" s="537" t="s">
        <v>23</v>
      </c>
      <c r="F153" s="537" t="s">
        <v>73</v>
      </c>
      <c r="G153" s="537" t="s">
        <v>73</v>
      </c>
      <c r="H153" s="537">
        <v>4.673368044878571</v>
      </c>
      <c r="I153" s="537">
        <v>6.1156113097114089</v>
      </c>
      <c r="J153" s="537">
        <v>6.7532135108486315</v>
      </c>
      <c r="K153" s="537">
        <v>3.3302274928095787</v>
      </c>
      <c r="L153" s="537">
        <v>6.3610537896283956</v>
      </c>
      <c r="M153" s="537">
        <v>5.4852176618617712</v>
      </c>
      <c r="N153" s="537">
        <v>5.6884314695547387</v>
      </c>
      <c r="O153" s="537">
        <v>3.920196819442439</v>
      </c>
      <c r="P153" s="537">
        <v>1.8407099896301995</v>
      </c>
      <c r="Q153" s="537">
        <v>2.7903078244305504</v>
      </c>
      <c r="R153" s="537">
        <v>2.9663445189720097</v>
      </c>
      <c r="S153" s="537">
        <v>1.7101081820892721</v>
      </c>
      <c r="T153" s="537">
        <v>51.634790613857561</v>
      </c>
      <c r="U153" s="537" t="s">
        <v>62</v>
      </c>
    </row>
    <row r="154" spans="1:21" x14ac:dyDescent="0.2">
      <c r="A154" s="537" t="str">
        <f t="shared" si="4"/>
        <v>Moray.2011.Vehicle Numbers.Total</v>
      </c>
      <c r="B154" s="537" t="s">
        <v>196</v>
      </c>
      <c r="C154" s="537" t="str">
        <f t="shared" si="5"/>
        <v>2011.Vehicle Numbers.Total</v>
      </c>
      <c r="D154" s="537" t="s">
        <v>206</v>
      </c>
      <c r="E154" s="537" t="s">
        <v>23</v>
      </c>
      <c r="F154" s="537" t="s">
        <v>55</v>
      </c>
      <c r="G154" s="537" t="s">
        <v>55</v>
      </c>
      <c r="H154" s="537">
        <v>8.643081444536751</v>
      </c>
      <c r="I154" s="537">
        <v>10.812570365686692</v>
      </c>
      <c r="J154" s="537">
        <v>11.593382710880066</v>
      </c>
      <c r="K154" s="537">
        <v>10.5350784451644</v>
      </c>
      <c r="L154" s="537">
        <v>13.978436046189511</v>
      </c>
      <c r="M154" s="537">
        <v>13.059610192278086</v>
      </c>
      <c r="N154" s="537">
        <v>14.173571046645158</v>
      </c>
      <c r="O154" s="537">
        <v>13.701962781781997</v>
      </c>
      <c r="P154" s="537">
        <v>9.4550639897271456</v>
      </c>
      <c r="Q154" s="537">
        <v>10.271774267742954</v>
      </c>
      <c r="R154" s="537">
        <v>7.9509830066525211</v>
      </c>
      <c r="S154" s="537">
        <v>7.8505134926972033</v>
      </c>
      <c r="T154" s="537">
        <v>132.02602778998249</v>
      </c>
      <c r="U154" s="537" t="s">
        <v>62</v>
      </c>
    </row>
    <row r="155" spans="1:21" x14ac:dyDescent="0.2">
      <c r="A155" s="537" t="str">
        <f t="shared" si="4"/>
        <v>Moray.2011.Accommodation.Serviced Accommodation</v>
      </c>
      <c r="B155" s="537" t="s">
        <v>196</v>
      </c>
      <c r="C155" s="537" t="str">
        <f t="shared" si="5"/>
        <v>2011.Accommodation.Serviced Accommodation</v>
      </c>
      <c r="D155" s="537" t="s">
        <v>206</v>
      </c>
      <c r="E155" s="537" t="s">
        <v>24</v>
      </c>
      <c r="F155" s="537" t="s">
        <v>44</v>
      </c>
      <c r="G155" s="537" t="s">
        <v>44</v>
      </c>
      <c r="H155" s="537">
        <v>2567.4193548387098</v>
      </c>
      <c r="I155" s="537">
        <v>2585</v>
      </c>
      <c r="J155" s="537">
        <v>2598</v>
      </c>
      <c r="K155" s="537">
        <v>2620.4193548387098</v>
      </c>
      <c r="L155" s="537">
        <v>2634</v>
      </c>
      <c r="M155" s="537">
        <v>2637</v>
      </c>
      <c r="N155" s="537">
        <v>2637</v>
      </c>
      <c r="O155" s="537">
        <v>2637</v>
      </c>
      <c r="P155" s="537">
        <v>2634</v>
      </c>
      <c r="Q155" s="537">
        <v>2623</v>
      </c>
      <c r="R155" s="537">
        <v>2590</v>
      </c>
      <c r="S155" s="537">
        <v>2556.6774193548385</v>
      </c>
      <c r="T155" s="537">
        <v>2637</v>
      </c>
      <c r="U155" s="537" t="s">
        <v>59</v>
      </c>
    </row>
    <row r="156" spans="1:21" x14ac:dyDescent="0.2">
      <c r="A156" s="537" t="str">
        <f t="shared" si="4"/>
        <v>Moray.2011.Accommodation.Non-Serviced Accommodation</v>
      </c>
      <c r="B156" s="537" t="s">
        <v>196</v>
      </c>
      <c r="C156" s="537" t="str">
        <f t="shared" si="5"/>
        <v>2011.Accommodation.Non-Serviced Accommodation</v>
      </c>
      <c r="D156" s="537" t="s">
        <v>206</v>
      </c>
      <c r="E156" s="537" t="s">
        <v>24</v>
      </c>
      <c r="F156" s="537" t="s">
        <v>49</v>
      </c>
      <c r="G156" s="537" t="s">
        <v>49</v>
      </c>
      <c r="H156" s="537">
        <v>1075</v>
      </c>
      <c r="I156" s="537">
        <v>1063</v>
      </c>
      <c r="J156" s="537">
        <v>1682</v>
      </c>
      <c r="K156" s="537">
        <v>4177</v>
      </c>
      <c r="L156" s="537">
        <v>4194</v>
      </c>
      <c r="M156" s="537">
        <v>4209</v>
      </c>
      <c r="N156" s="537">
        <v>4209</v>
      </c>
      <c r="O156" s="537">
        <v>4209</v>
      </c>
      <c r="P156" s="537">
        <v>4209</v>
      </c>
      <c r="Q156" s="537">
        <v>4027</v>
      </c>
      <c r="R156" s="537">
        <v>1230</v>
      </c>
      <c r="S156" s="537">
        <v>1075</v>
      </c>
      <c r="T156" s="537">
        <v>4209</v>
      </c>
      <c r="U156" s="537" t="s">
        <v>59</v>
      </c>
    </row>
    <row r="157" spans="1:21" x14ac:dyDescent="0.2">
      <c r="A157" s="537" t="str">
        <f t="shared" si="4"/>
        <v>Moray.2011.Accommodation.Total</v>
      </c>
      <c r="B157" s="537" t="s">
        <v>196</v>
      </c>
      <c r="C157" s="537" t="str">
        <f t="shared" si="5"/>
        <v>2011.Accommodation.Total</v>
      </c>
      <c r="D157" s="537" t="s">
        <v>206</v>
      </c>
      <c r="E157" s="537" t="s">
        <v>24</v>
      </c>
      <c r="F157" s="537" t="s">
        <v>55</v>
      </c>
      <c r="G157" s="537" t="s">
        <v>55</v>
      </c>
      <c r="H157" s="537">
        <v>3642.4193548387098</v>
      </c>
      <c r="I157" s="537">
        <v>3648</v>
      </c>
      <c r="J157" s="537">
        <v>4280</v>
      </c>
      <c r="K157" s="537">
        <v>6797.4193548387102</v>
      </c>
      <c r="L157" s="537">
        <v>6828</v>
      </c>
      <c r="M157" s="537">
        <v>6846</v>
      </c>
      <c r="N157" s="537">
        <v>6846</v>
      </c>
      <c r="O157" s="537">
        <v>6846</v>
      </c>
      <c r="P157" s="537">
        <v>6843</v>
      </c>
      <c r="Q157" s="537">
        <v>6650</v>
      </c>
      <c r="R157" s="537">
        <v>3820</v>
      </c>
      <c r="S157" s="537">
        <v>3631.6774193548385</v>
      </c>
      <c r="T157" s="537">
        <v>6846</v>
      </c>
      <c r="U157" s="537" t="s">
        <v>59</v>
      </c>
    </row>
    <row r="158" spans="1:21" x14ac:dyDescent="0.2">
      <c r="A158" s="537" t="str">
        <f t="shared" si="4"/>
        <v>Moray.2011.Economic Impact.Total</v>
      </c>
      <c r="B158" s="537" t="s">
        <v>196</v>
      </c>
      <c r="C158" s="537" t="str">
        <f t="shared" si="5"/>
        <v>2011.Economic Impact.Total</v>
      </c>
      <c r="D158" s="537" t="s">
        <v>206</v>
      </c>
      <c r="E158" s="537" t="s">
        <v>18</v>
      </c>
      <c r="F158" s="537" t="s">
        <v>55</v>
      </c>
      <c r="G158" s="537" t="s">
        <v>55</v>
      </c>
      <c r="H158" s="537">
        <v>4233.7377809963764</v>
      </c>
      <c r="I158" s="537">
        <v>5279.3115995345779</v>
      </c>
      <c r="J158" s="537">
        <v>6193.308100690806</v>
      </c>
      <c r="K158" s="537">
        <v>7382.3974297245004</v>
      </c>
      <c r="L158" s="537">
        <v>7886.8240005193047</v>
      </c>
      <c r="M158" s="537">
        <v>8733.5224377033974</v>
      </c>
      <c r="N158" s="537">
        <v>10715.903853840569</v>
      </c>
      <c r="O158" s="537">
        <v>11291.470121756716</v>
      </c>
      <c r="P158" s="537">
        <v>6800.6578946712953</v>
      </c>
      <c r="Q158" s="537">
        <v>7067.1165376393838</v>
      </c>
      <c r="R158" s="537">
        <v>4358.5544569685371</v>
      </c>
      <c r="S158" s="537">
        <v>4341.1822403772458</v>
      </c>
      <c r="T158" s="537">
        <v>84283.986454422702</v>
      </c>
      <c r="U158" s="537" t="s">
        <v>58</v>
      </c>
    </row>
    <row r="159" spans="1:21" x14ac:dyDescent="0.2">
      <c r="A159" s="537" t="str">
        <f t="shared" si="4"/>
        <v>Moray.2012.Economic Impact.Indirect Expenditure</v>
      </c>
      <c r="B159" s="537" t="s">
        <v>196</v>
      </c>
      <c r="C159" s="537" t="str">
        <f t="shared" si="5"/>
        <v>2012.Economic Impact.Indirect Expenditure</v>
      </c>
      <c r="D159" s="537" t="s">
        <v>207</v>
      </c>
      <c r="E159" s="537" t="s">
        <v>18</v>
      </c>
      <c r="F159" s="537" t="s">
        <v>46</v>
      </c>
      <c r="G159" s="537" t="s">
        <v>46</v>
      </c>
      <c r="H159" s="537">
        <v>1373.8010504724598</v>
      </c>
      <c r="I159" s="537">
        <v>1338.6260504443742</v>
      </c>
      <c r="J159" s="537">
        <v>1620.5813815080055</v>
      </c>
      <c r="K159" s="537">
        <v>1618.8153092632178</v>
      </c>
      <c r="L159" s="537">
        <v>1810.2899330771452</v>
      </c>
      <c r="M159" s="537">
        <v>2191.094146011897</v>
      </c>
      <c r="N159" s="537">
        <v>2655.4242078571883</v>
      </c>
      <c r="O159" s="537">
        <v>2797.0988666472922</v>
      </c>
      <c r="P159" s="537">
        <v>1790.5404674824456</v>
      </c>
      <c r="Q159" s="537">
        <v>1554.7685567530957</v>
      </c>
      <c r="R159" s="537">
        <v>919.4504536030031</v>
      </c>
      <c r="S159" s="537">
        <v>1013.953137590761</v>
      </c>
      <c r="T159" s="537">
        <v>20684.443560710886</v>
      </c>
      <c r="U159" s="537" t="s">
        <v>58</v>
      </c>
    </row>
    <row r="160" spans="1:21" x14ac:dyDescent="0.2">
      <c r="A160" s="537" t="str">
        <f t="shared" si="4"/>
        <v>Moray.2012.Economic Impact.Direct Revenue</v>
      </c>
      <c r="B160" s="537" t="s">
        <v>196</v>
      </c>
      <c r="C160" s="537" t="str">
        <f t="shared" si="5"/>
        <v>2012.Economic Impact.Direct Revenue</v>
      </c>
      <c r="D160" s="537" t="s">
        <v>207</v>
      </c>
      <c r="E160" s="537" t="s">
        <v>18</v>
      </c>
      <c r="F160" s="537" t="s">
        <v>47</v>
      </c>
      <c r="G160" s="537" t="s">
        <v>47</v>
      </c>
      <c r="H160" s="537">
        <v>3853.2629078918549</v>
      </c>
      <c r="I160" s="537">
        <v>3675.9531064787216</v>
      </c>
      <c r="J160" s="537">
        <v>4480.4611265658714</v>
      </c>
      <c r="K160" s="537">
        <v>4295.3176968804955</v>
      </c>
      <c r="L160" s="537">
        <v>4691.2384137385579</v>
      </c>
      <c r="M160" s="537">
        <v>5742.9377279645505</v>
      </c>
      <c r="N160" s="537">
        <v>7052.4325164888769</v>
      </c>
      <c r="O160" s="537">
        <v>7433.0290437915919</v>
      </c>
      <c r="P160" s="537">
        <v>4779.9365298440825</v>
      </c>
      <c r="Q160" s="537">
        <v>4086.9992118869473</v>
      </c>
      <c r="R160" s="537">
        <v>2518.2811737629681</v>
      </c>
      <c r="S160" s="537">
        <v>2746.235617382652</v>
      </c>
      <c r="T160" s="537">
        <v>55356.085072677175</v>
      </c>
      <c r="U160" s="537" t="s">
        <v>58</v>
      </c>
    </row>
    <row r="161" spans="1:21" x14ac:dyDescent="0.2">
      <c r="A161" s="537" t="str">
        <f t="shared" si="4"/>
        <v>Moray.2012.Economic Impact.VAT</v>
      </c>
      <c r="B161" s="537" t="s">
        <v>196</v>
      </c>
      <c r="C161" s="537" t="str">
        <f t="shared" si="5"/>
        <v>2012.Economic Impact.VAT</v>
      </c>
      <c r="D161" s="537" t="s">
        <v>207</v>
      </c>
      <c r="E161" s="537" t="s">
        <v>18</v>
      </c>
      <c r="F161" s="537" t="s">
        <v>48</v>
      </c>
      <c r="G161" s="537" t="s">
        <v>48</v>
      </c>
      <c r="H161" s="537">
        <v>770.65258157837093</v>
      </c>
      <c r="I161" s="537">
        <v>735.19062129574422</v>
      </c>
      <c r="J161" s="537">
        <v>896.09222531317448</v>
      </c>
      <c r="K161" s="537">
        <v>859.06353937609902</v>
      </c>
      <c r="L161" s="537">
        <v>938.24768274771145</v>
      </c>
      <c r="M161" s="537">
        <v>1148.5875455929101</v>
      </c>
      <c r="N161" s="537">
        <v>1410.4865032977757</v>
      </c>
      <c r="O161" s="537">
        <v>1486.6058087583187</v>
      </c>
      <c r="P161" s="537">
        <v>955.98730596881671</v>
      </c>
      <c r="Q161" s="537">
        <v>817.39984237738952</v>
      </c>
      <c r="R161" s="537">
        <v>503.6562347525936</v>
      </c>
      <c r="S161" s="537">
        <v>549.24712347653042</v>
      </c>
      <c r="T161" s="537">
        <v>11071.217014535436</v>
      </c>
      <c r="U161" s="537" t="s">
        <v>58</v>
      </c>
    </row>
    <row r="162" spans="1:21" x14ac:dyDescent="0.2">
      <c r="A162" s="537" t="str">
        <f t="shared" si="4"/>
        <v>Moray.2012.Economic Impact.Serviced Accommodation</v>
      </c>
      <c r="B162" s="537" t="s">
        <v>196</v>
      </c>
      <c r="C162" s="537" t="str">
        <f t="shared" si="5"/>
        <v>2012.Economic Impact.Serviced Accommodation</v>
      </c>
      <c r="D162" s="537" t="s">
        <v>207</v>
      </c>
      <c r="E162" s="537" t="s">
        <v>18</v>
      </c>
      <c r="F162" s="537" t="s">
        <v>44</v>
      </c>
      <c r="G162" s="537" t="s">
        <v>44</v>
      </c>
      <c r="H162" s="537">
        <v>3389.9994459862173</v>
      </c>
      <c r="I162" s="537">
        <v>3060.147129233671</v>
      </c>
      <c r="J162" s="537">
        <v>3893.4064106836804</v>
      </c>
      <c r="K162" s="537">
        <v>2936.2257054259658</v>
      </c>
      <c r="L162" s="537">
        <v>2678.6442475212289</v>
      </c>
      <c r="M162" s="537">
        <v>3570.6272594722263</v>
      </c>
      <c r="N162" s="537">
        <v>5432.0236429894185</v>
      </c>
      <c r="O162" s="537">
        <v>5520.1412185552772</v>
      </c>
      <c r="P162" s="537">
        <v>3984.4601979869835</v>
      </c>
      <c r="Q162" s="537">
        <v>3181.0869919423517</v>
      </c>
      <c r="R162" s="537">
        <v>2212.3531178134572</v>
      </c>
      <c r="S162" s="537">
        <v>1877.5220695794958</v>
      </c>
      <c r="T162" s="537">
        <v>41736.637437189966</v>
      </c>
      <c r="U162" s="537" t="s">
        <v>58</v>
      </c>
    </row>
    <row r="163" spans="1:21" x14ac:dyDescent="0.2">
      <c r="A163" s="537" t="str">
        <f t="shared" si="4"/>
        <v>Moray.2012.Economic Impact.Non-Serviced Accommodation</v>
      </c>
      <c r="B163" s="537" t="s">
        <v>196</v>
      </c>
      <c r="C163" s="537" t="str">
        <f t="shared" si="5"/>
        <v>2012.Economic Impact.Non-Serviced Accommodation</v>
      </c>
      <c r="D163" s="537" t="s">
        <v>207</v>
      </c>
      <c r="E163" s="537" t="s">
        <v>18</v>
      </c>
      <c r="F163" s="537" t="s">
        <v>49</v>
      </c>
      <c r="G163" s="537" t="s">
        <v>49</v>
      </c>
      <c r="H163" s="537">
        <v>273.96736648269217</v>
      </c>
      <c r="I163" s="537">
        <v>347.9686373390997</v>
      </c>
      <c r="J163" s="537">
        <v>427.50940405026273</v>
      </c>
      <c r="K163" s="537">
        <v>1903.6706052422778</v>
      </c>
      <c r="L163" s="537">
        <v>2427.4311090158153</v>
      </c>
      <c r="M163" s="537">
        <v>2969.9567566762489</v>
      </c>
      <c r="N163" s="537">
        <v>3281.9454658841059</v>
      </c>
      <c r="O163" s="537">
        <v>3527.2958494020722</v>
      </c>
      <c r="P163" s="537">
        <v>2409.1407265181497</v>
      </c>
      <c r="Q163" s="537">
        <v>1917.03352018337</v>
      </c>
      <c r="R163" s="537">
        <v>467.30328789997543</v>
      </c>
      <c r="S163" s="537">
        <v>416.59831576348381</v>
      </c>
      <c r="T163" s="537">
        <v>20369.821044457552</v>
      </c>
      <c r="U163" s="537" t="s">
        <v>58</v>
      </c>
    </row>
    <row r="164" spans="1:21" x14ac:dyDescent="0.2">
      <c r="A164" s="537" t="str">
        <f t="shared" si="4"/>
        <v>Moray.2012.Economic Impact.SFR</v>
      </c>
      <c r="B164" s="537" t="s">
        <v>196</v>
      </c>
      <c r="C164" s="537" t="str">
        <f t="shared" si="5"/>
        <v>2012.Economic Impact.SFR</v>
      </c>
      <c r="D164" s="537" t="s">
        <v>207</v>
      </c>
      <c r="E164" s="537" t="s">
        <v>18</v>
      </c>
      <c r="F164" s="537" t="s">
        <v>19</v>
      </c>
      <c r="G164" s="537" t="s">
        <v>19</v>
      </c>
      <c r="H164" s="537">
        <v>1211.0677235231162</v>
      </c>
      <c r="I164" s="537">
        <v>666.29835970950376</v>
      </c>
      <c r="J164" s="537">
        <v>824.70909369763024</v>
      </c>
      <c r="K164" s="537">
        <v>1342.8346739879864</v>
      </c>
      <c r="L164" s="537">
        <v>1040.9405405157368</v>
      </c>
      <c r="M164" s="537">
        <v>1476.4696994831531</v>
      </c>
      <c r="N164" s="537">
        <v>990.39189627924634</v>
      </c>
      <c r="O164" s="537">
        <v>1772.0808545517571</v>
      </c>
      <c r="P164" s="537">
        <v>733.41283618916123</v>
      </c>
      <c r="Q164" s="537">
        <v>667.96048962647228</v>
      </c>
      <c r="R164" s="537">
        <v>593.50967320210543</v>
      </c>
      <c r="S164" s="537">
        <v>1464.239513924244</v>
      </c>
      <c r="T164" s="537">
        <v>12783.915354690113</v>
      </c>
      <c r="U164" s="537" t="s">
        <v>58</v>
      </c>
    </row>
    <row r="165" spans="1:21" x14ac:dyDescent="0.2">
      <c r="A165" s="537" t="str">
        <f t="shared" si="4"/>
        <v>Moray.2012.Economic Impact.Day Visitor</v>
      </c>
      <c r="B165" s="537" t="s">
        <v>196</v>
      </c>
      <c r="C165" s="537" t="str">
        <f t="shared" si="5"/>
        <v>2012.Economic Impact.Day Visitor</v>
      </c>
      <c r="D165" s="537" t="s">
        <v>207</v>
      </c>
      <c r="E165" s="537" t="s">
        <v>18</v>
      </c>
      <c r="F165" s="537" t="s">
        <v>73</v>
      </c>
      <c r="G165" s="537" t="s">
        <v>73</v>
      </c>
      <c r="H165" s="537">
        <v>1122.6820039506601</v>
      </c>
      <c r="I165" s="537">
        <v>1675.3556519365643</v>
      </c>
      <c r="J165" s="537">
        <v>1851.5098249554776</v>
      </c>
      <c r="K165" s="537">
        <v>590.46556086358237</v>
      </c>
      <c r="L165" s="537">
        <v>1292.7601325106327</v>
      </c>
      <c r="M165" s="537">
        <v>1065.5657039377284</v>
      </c>
      <c r="N165" s="537">
        <v>1413.9822224910693</v>
      </c>
      <c r="O165" s="537">
        <v>897.21579668809636</v>
      </c>
      <c r="P165" s="537">
        <v>399.45054260105081</v>
      </c>
      <c r="Q165" s="537">
        <v>693.08660926523828</v>
      </c>
      <c r="R165" s="537">
        <v>668.22178320302646</v>
      </c>
      <c r="S165" s="537">
        <v>551.07597918272006</v>
      </c>
      <c r="T165" s="537">
        <v>12221.371811585848</v>
      </c>
      <c r="U165" s="537" t="s">
        <v>58</v>
      </c>
    </row>
    <row r="166" spans="1:21" x14ac:dyDescent="0.2">
      <c r="A166" s="537" t="str">
        <f t="shared" si="4"/>
        <v>Moray.2012.Economic Impact.Accommodation</v>
      </c>
      <c r="B166" s="537" t="s">
        <v>196</v>
      </c>
      <c r="C166" s="537" t="str">
        <f t="shared" si="5"/>
        <v>2012.Economic Impact.Accommodation</v>
      </c>
      <c r="D166" s="537" t="s">
        <v>207</v>
      </c>
      <c r="E166" s="537" t="s">
        <v>18</v>
      </c>
      <c r="F166" s="537" t="s">
        <v>24</v>
      </c>
      <c r="G166" s="537" t="s">
        <v>24</v>
      </c>
      <c r="H166" s="537">
        <v>716.13365002408921</v>
      </c>
      <c r="I166" s="537">
        <v>714.03912638500492</v>
      </c>
      <c r="J166" s="537">
        <v>916.97553958348465</v>
      </c>
      <c r="K166" s="537">
        <v>1165.6947589214792</v>
      </c>
      <c r="L166" s="537">
        <v>1187.6425122222779</v>
      </c>
      <c r="M166" s="537">
        <v>1495.2077156932337</v>
      </c>
      <c r="N166" s="537">
        <v>2525.603211940499</v>
      </c>
      <c r="O166" s="537">
        <v>2582.285119730419</v>
      </c>
      <c r="P166" s="537">
        <v>1500.6262312450974</v>
      </c>
      <c r="Q166" s="537">
        <v>1211.8195234960024</v>
      </c>
      <c r="R166" s="537">
        <v>657.95506319979256</v>
      </c>
      <c r="S166" s="537">
        <v>574.22336427897608</v>
      </c>
      <c r="T166" s="537">
        <v>15248.205816720356</v>
      </c>
      <c r="U166" s="537" t="s">
        <v>58</v>
      </c>
    </row>
    <row r="167" spans="1:21" x14ac:dyDescent="0.2">
      <c r="A167" s="537" t="str">
        <f t="shared" si="4"/>
        <v>Moray.2012.Economic Impact.Food &amp; Drink</v>
      </c>
      <c r="B167" s="537" t="s">
        <v>196</v>
      </c>
      <c r="C167" s="537" t="str">
        <f t="shared" si="5"/>
        <v>2012.Economic Impact.Food &amp; Drink</v>
      </c>
      <c r="D167" s="537" t="s">
        <v>207</v>
      </c>
      <c r="E167" s="537" t="s">
        <v>18</v>
      </c>
      <c r="F167" s="537" t="s">
        <v>50</v>
      </c>
      <c r="G167" s="537" t="s">
        <v>50</v>
      </c>
      <c r="H167" s="537">
        <v>1084.9945643328954</v>
      </c>
      <c r="I167" s="537">
        <v>1054.7418620299482</v>
      </c>
      <c r="J167" s="537">
        <v>1263.1079833545737</v>
      </c>
      <c r="K167" s="537">
        <v>948.73215332344068</v>
      </c>
      <c r="L167" s="537">
        <v>1049.648702820441</v>
      </c>
      <c r="M167" s="537">
        <v>1236.0168954395408</v>
      </c>
      <c r="N167" s="537">
        <v>1295.6656736405175</v>
      </c>
      <c r="O167" s="537">
        <v>1406.5942631023872</v>
      </c>
      <c r="P167" s="537">
        <v>957.32685496530507</v>
      </c>
      <c r="Q167" s="537">
        <v>888.39880303455709</v>
      </c>
      <c r="R167" s="537">
        <v>635.1819091612997</v>
      </c>
      <c r="S167" s="537">
        <v>721.39325720508862</v>
      </c>
      <c r="T167" s="537">
        <v>12541.802922409996</v>
      </c>
      <c r="U167" s="537" t="s">
        <v>58</v>
      </c>
    </row>
    <row r="168" spans="1:21" x14ac:dyDescent="0.2">
      <c r="A168" s="537" t="str">
        <f t="shared" si="4"/>
        <v>Moray.2012.Economic Impact.Recreation</v>
      </c>
      <c r="B168" s="537" t="s">
        <v>196</v>
      </c>
      <c r="C168" s="537" t="str">
        <f t="shared" si="5"/>
        <v>2012.Economic Impact.Recreation</v>
      </c>
      <c r="D168" s="537" t="s">
        <v>207</v>
      </c>
      <c r="E168" s="537" t="s">
        <v>18</v>
      </c>
      <c r="F168" s="537" t="s">
        <v>51</v>
      </c>
      <c r="G168" s="537" t="s">
        <v>51</v>
      </c>
      <c r="H168" s="537">
        <v>440.38727761919114</v>
      </c>
      <c r="I168" s="537">
        <v>501.46571419297885</v>
      </c>
      <c r="J168" s="537">
        <v>589.8321040149624</v>
      </c>
      <c r="K168" s="537">
        <v>377.46721534987029</v>
      </c>
      <c r="L168" s="537">
        <v>409.16275043338038</v>
      </c>
      <c r="M168" s="537">
        <v>494.09023891406474</v>
      </c>
      <c r="N168" s="537">
        <v>629.04799489350103</v>
      </c>
      <c r="O168" s="537">
        <v>644.58388689277979</v>
      </c>
      <c r="P168" s="537">
        <v>430.37903494272962</v>
      </c>
      <c r="Q168" s="537">
        <v>432.68353971976603</v>
      </c>
      <c r="R168" s="537">
        <v>287.70984172141976</v>
      </c>
      <c r="S168" s="537">
        <v>291.81637898005044</v>
      </c>
      <c r="T168" s="537">
        <v>5528.6259776746947</v>
      </c>
      <c r="U168" s="537" t="s">
        <v>58</v>
      </c>
    </row>
    <row r="169" spans="1:21" x14ac:dyDescent="0.2">
      <c r="A169" s="537" t="str">
        <f t="shared" si="4"/>
        <v>Moray.2012.Economic Impact.Shopping</v>
      </c>
      <c r="B169" s="537" t="s">
        <v>196</v>
      </c>
      <c r="C169" s="537" t="str">
        <f t="shared" si="5"/>
        <v>2012.Economic Impact.Shopping</v>
      </c>
      <c r="D169" s="537" t="s">
        <v>207</v>
      </c>
      <c r="E169" s="537" t="s">
        <v>18</v>
      </c>
      <c r="F169" s="537" t="s">
        <v>52</v>
      </c>
      <c r="G169" s="537" t="s">
        <v>52</v>
      </c>
      <c r="H169" s="537">
        <v>570.21496729633657</v>
      </c>
      <c r="I169" s="537">
        <v>519.78642890967649</v>
      </c>
      <c r="J169" s="537">
        <v>623.9830999690995</v>
      </c>
      <c r="K169" s="537">
        <v>534.67782612388157</v>
      </c>
      <c r="L169" s="537">
        <v>622.30056751756388</v>
      </c>
      <c r="M169" s="537">
        <v>726.93920808396001</v>
      </c>
      <c r="N169" s="537">
        <v>886.77689931348993</v>
      </c>
      <c r="O169" s="537">
        <v>907.5575079069514</v>
      </c>
      <c r="P169" s="537">
        <v>589.10653634140658</v>
      </c>
      <c r="Q169" s="537">
        <v>514.02503878170455</v>
      </c>
      <c r="R169" s="537">
        <v>348.51483994839549</v>
      </c>
      <c r="S169" s="537">
        <v>454.44692585165342</v>
      </c>
      <c r="T169" s="537">
        <v>7298.3298460441174</v>
      </c>
      <c r="U169" s="537" t="s">
        <v>58</v>
      </c>
    </row>
    <row r="170" spans="1:21" x14ac:dyDescent="0.2">
      <c r="A170" s="537" t="str">
        <f t="shared" si="4"/>
        <v>Moray.2012.Economic Impact.Transport</v>
      </c>
      <c r="B170" s="537" t="s">
        <v>196</v>
      </c>
      <c r="C170" s="537" t="str">
        <f t="shared" si="5"/>
        <v>2012.Economic Impact.Transport</v>
      </c>
      <c r="D170" s="537" t="s">
        <v>207</v>
      </c>
      <c r="E170" s="537" t="s">
        <v>18</v>
      </c>
      <c r="F170" s="537" t="s">
        <v>53</v>
      </c>
      <c r="G170" s="537" t="s">
        <v>53</v>
      </c>
      <c r="H170" s="537">
        <v>1041.5324486193426</v>
      </c>
      <c r="I170" s="537">
        <v>885.91997496111276</v>
      </c>
      <c r="J170" s="537">
        <v>1086.5623996437516</v>
      </c>
      <c r="K170" s="537">
        <v>1268.7457431618234</v>
      </c>
      <c r="L170" s="537">
        <v>1422.4838807448939</v>
      </c>
      <c r="M170" s="537">
        <v>1790.6836698337506</v>
      </c>
      <c r="N170" s="537">
        <v>1715.33873670087</v>
      </c>
      <c r="O170" s="537">
        <v>1892.0082661590554</v>
      </c>
      <c r="P170" s="537">
        <v>1302.4978723495444</v>
      </c>
      <c r="Q170" s="537">
        <v>1040.0723068549173</v>
      </c>
      <c r="R170" s="537">
        <v>588.91951973206073</v>
      </c>
      <c r="S170" s="537">
        <v>704.35569106688365</v>
      </c>
      <c r="T170" s="537">
        <v>14739.120509828004</v>
      </c>
      <c r="U170" s="537" t="s">
        <v>58</v>
      </c>
    </row>
    <row r="171" spans="1:21" x14ac:dyDescent="0.2">
      <c r="A171" s="537" t="str">
        <f t="shared" si="4"/>
        <v>Moray.2012.Economic Impact.Direct Expenditure</v>
      </c>
      <c r="B171" s="537" t="s">
        <v>196</v>
      </c>
      <c r="C171" s="537" t="str">
        <f t="shared" si="5"/>
        <v>2012.Economic Impact.Direct Expenditure</v>
      </c>
      <c r="D171" s="537" t="s">
        <v>207</v>
      </c>
      <c r="E171" s="537" t="s">
        <v>18</v>
      </c>
      <c r="F171" s="537" t="s">
        <v>45</v>
      </c>
      <c r="G171" s="537" t="s">
        <v>45</v>
      </c>
      <c r="H171" s="537">
        <v>4623.915489470226</v>
      </c>
      <c r="I171" s="537">
        <v>4411.1437277744644</v>
      </c>
      <c r="J171" s="537">
        <v>5376.5533518790462</v>
      </c>
      <c r="K171" s="537">
        <v>5154.381236256595</v>
      </c>
      <c r="L171" s="537">
        <v>5629.4860964862683</v>
      </c>
      <c r="M171" s="537">
        <v>6891.5252735574604</v>
      </c>
      <c r="N171" s="537">
        <v>8462.9190197866519</v>
      </c>
      <c r="O171" s="537">
        <v>8919.6348525499106</v>
      </c>
      <c r="P171" s="537">
        <v>5735.9238358128987</v>
      </c>
      <c r="Q171" s="537">
        <v>4904.399054264336</v>
      </c>
      <c r="R171" s="537">
        <v>3021.9374085155614</v>
      </c>
      <c r="S171" s="537">
        <v>3295.4827408591827</v>
      </c>
      <c r="T171" s="537">
        <v>66427.302087212607</v>
      </c>
      <c r="U171" s="537" t="s">
        <v>58</v>
      </c>
    </row>
    <row r="172" spans="1:21" x14ac:dyDescent="0.2">
      <c r="A172" s="537" t="str">
        <f t="shared" si="4"/>
        <v>Moray.2012.Population.Total</v>
      </c>
      <c r="B172" s="537" t="s">
        <v>196</v>
      </c>
      <c r="C172" s="537" t="str">
        <f t="shared" si="5"/>
        <v>2012.Population.Total</v>
      </c>
      <c r="D172" s="537" t="s">
        <v>207</v>
      </c>
      <c r="E172" s="537" t="s">
        <v>20</v>
      </c>
      <c r="F172" s="537" t="s">
        <v>55</v>
      </c>
      <c r="G172" s="537" t="s">
        <v>55</v>
      </c>
      <c r="H172" s="537">
        <v>87260</v>
      </c>
      <c r="I172" s="537">
        <v>87260</v>
      </c>
      <c r="J172" s="537">
        <v>87260</v>
      </c>
      <c r="K172" s="537">
        <v>87260</v>
      </c>
      <c r="L172" s="537">
        <v>87260</v>
      </c>
      <c r="M172" s="537">
        <v>87260</v>
      </c>
      <c r="N172" s="537">
        <v>87260</v>
      </c>
      <c r="O172" s="537">
        <v>87260</v>
      </c>
      <c r="P172" s="537">
        <v>87260</v>
      </c>
      <c r="Q172" s="537">
        <v>87260</v>
      </c>
      <c r="R172" s="537">
        <v>87260</v>
      </c>
      <c r="S172" s="537">
        <v>87260</v>
      </c>
      <c r="T172" s="537">
        <v>87260</v>
      </c>
      <c r="U172" s="537" t="s">
        <v>61</v>
      </c>
    </row>
    <row r="173" spans="1:21" x14ac:dyDescent="0.2">
      <c r="A173" s="537" t="str">
        <f t="shared" si="4"/>
        <v>Moray.2012.Employment.Serviced Accommodation</v>
      </c>
      <c r="B173" s="537" t="s">
        <v>196</v>
      </c>
      <c r="C173" s="537" t="str">
        <f t="shared" si="5"/>
        <v>2012.Employment.Serviced Accommodation</v>
      </c>
      <c r="D173" s="537" t="s">
        <v>207</v>
      </c>
      <c r="E173" s="537" t="s">
        <v>21</v>
      </c>
      <c r="F173" s="537" t="s">
        <v>44</v>
      </c>
      <c r="G173" s="537" t="s">
        <v>44</v>
      </c>
      <c r="H173" s="537">
        <v>1374.2618653533509</v>
      </c>
      <c r="I173" s="537">
        <v>1328.7165216826563</v>
      </c>
      <c r="J173" s="537">
        <v>1426.310035920405</v>
      </c>
      <c r="K173" s="537">
        <v>1263.2674357160524</v>
      </c>
      <c r="L173" s="537">
        <v>1233.7953800292773</v>
      </c>
      <c r="M173" s="537">
        <v>1328.5466187093991</v>
      </c>
      <c r="N173" s="537">
        <v>1559.8160627775178</v>
      </c>
      <c r="O173" s="537">
        <v>1458.6438152818812</v>
      </c>
      <c r="P173" s="537">
        <v>1393.0955866942545</v>
      </c>
      <c r="Q173" s="537">
        <v>1300.9227871079224</v>
      </c>
      <c r="R173" s="537">
        <v>1205.6614597767457</v>
      </c>
      <c r="S173" s="537">
        <v>1154.5000098522873</v>
      </c>
      <c r="T173" s="537">
        <v>1335.6281315751455</v>
      </c>
      <c r="U173" s="537" t="s">
        <v>60</v>
      </c>
    </row>
    <row r="174" spans="1:21" x14ac:dyDescent="0.2">
      <c r="A174" s="537" t="str">
        <f t="shared" si="4"/>
        <v>Moray.2012.Employment.Non-Serviced Accommodation</v>
      </c>
      <c r="B174" s="537" t="s">
        <v>196</v>
      </c>
      <c r="C174" s="537" t="str">
        <f t="shared" si="5"/>
        <v>2012.Employment.Non-Serviced Accommodation</v>
      </c>
      <c r="D174" s="537" t="s">
        <v>207</v>
      </c>
      <c r="E174" s="537" t="s">
        <v>21</v>
      </c>
      <c r="F174" s="537" t="s">
        <v>49</v>
      </c>
      <c r="G174" s="537" t="s">
        <v>49</v>
      </c>
      <c r="H174" s="537">
        <v>360.37946939112464</v>
      </c>
      <c r="I174" s="537">
        <v>361.88416381398304</v>
      </c>
      <c r="J174" s="537">
        <v>379.38029771005534</v>
      </c>
      <c r="K174" s="537">
        <v>584.19137719303353</v>
      </c>
      <c r="L174" s="537">
        <v>653.73679652840292</v>
      </c>
      <c r="M174" s="537">
        <v>715.45549366885189</v>
      </c>
      <c r="N174" s="537">
        <v>703.96006354615008</v>
      </c>
      <c r="O174" s="537">
        <v>727.48415954839845</v>
      </c>
      <c r="P174" s="537">
        <v>635.76790176572388</v>
      </c>
      <c r="Q174" s="537">
        <v>579.11146272722465</v>
      </c>
      <c r="R174" s="537">
        <v>379.82346728075964</v>
      </c>
      <c r="S174" s="537">
        <v>375.35482806158467</v>
      </c>
      <c r="T174" s="537">
        <v>538.04412343627439</v>
      </c>
      <c r="U174" s="537" t="s">
        <v>60</v>
      </c>
    </row>
    <row r="175" spans="1:21" x14ac:dyDescent="0.2">
      <c r="A175" s="537" t="str">
        <f t="shared" si="4"/>
        <v>Moray.2012.Employment.SFR</v>
      </c>
      <c r="B175" s="537" t="s">
        <v>196</v>
      </c>
      <c r="C175" s="537" t="str">
        <f t="shared" si="5"/>
        <v>2012.Employment.SFR</v>
      </c>
      <c r="D175" s="537" t="s">
        <v>207</v>
      </c>
      <c r="E175" s="537" t="s">
        <v>21</v>
      </c>
      <c r="F175" s="537" t="s">
        <v>19</v>
      </c>
      <c r="G175" s="537" t="s">
        <v>19</v>
      </c>
      <c r="H175" s="537">
        <v>197.15599464069953</v>
      </c>
      <c r="I175" s="537">
        <v>108.47016503242349</v>
      </c>
      <c r="J175" s="537">
        <v>134.25866984893071</v>
      </c>
      <c r="K175" s="537">
        <v>219.36598512213226</v>
      </c>
      <c r="L175" s="537">
        <v>170.0484441957762</v>
      </c>
      <c r="M175" s="537">
        <v>241.19665391735191</v>
      </c>
      <c r="N175" s="537">
        <v>161.75265420249659</v>
      </c>
      <c r="O175" s="537">
        <v>289.41955478637681</v>
      </c>
      <c r="P175" s="537">
        <v>119.78235416248685</v>
      </c>
      <c r="Q175" s="537">
        <v>108.62456593960985</v>
      </c>
      <c r="R175" s="537">
        <v>96.517281536502679</v>
      </c>
      <c r="S175" s="537">
        <v>238.11645164909299</v>
      </c>
      <c r="T175" s="537">
        <v>173.72573125282335</v>
      </c>
      <c r="U175" s="537" t="s">
        <v>60</v>
      </c>
    </row>
    <row r="176" spans="1:21" x14ac:dyDescent="0.2">
      <c r="A176" s="537" t="str">
        <f t="shared" si="4"/>
        <v>Moray.2012.Employment.Day Visitor</v>
      </c>
      <c r="B176" s="537" t="s">
        <v>196</v>
      </c>
      <c r="C176" s="537" t="str">
        <f t="shared" si="5"/>
        <v>2012.Employment.Day Visitor</v>
      </c>
      <c r="D176" s="537" t="s">
        <v>207</v>
      </c>
      <c r="E176" s="537" t="s">
        <v>21</v>
      </c>
      <c r="F176" s="537" t="s">
        <v>73</v>
      </c>
      <c r="G176" s="537" t="s">
        <v>73</v>
      </c>
      <c r="H176" s="537">
        <v>184.46332217246285</v>
      </c>
      <c r="I176" s="537">
        <v>275.27088551266456</v>
      </c>
      <c r="J176" s="537">
        <v>304.2140625256273</v>
      </c>
      <c r="K176" s="537">
        <v>95.899004083658724</v>
      </c>
      <c r="L176" s="537">
        <v>209.96044044551928</v>
      </c>
      <c r="M176" s="537">
        <v>173.06121908935424</v>
      </c>
      <c r="N176" s="537">
        <v>228.24402141380676</v>
      </c>
      <c r="O176" s="537">
        <v>144.82794638769016</v>
      </c>
      <c r="P176" s="537">
        <v>64.479027210518424</v>
      </c>
      <c r="Q176" s="537">
        <v>113.87824695543289</v>
      </c>
      <c r="R176" s="537">
        <v>109.79280833208641</v>
      </c>
      <c r="S176" s="537">
        <v>90.545056865412292</v>
      </c>
      <c r="T176" s="537">
        <v>166.21967008285284</v>
      </c>
      <c r="U176" s="537" t="s">
        <v>60</v>
      </c>
    </row>
    <row r="177" spans="1:21" x14ac:dyDescent="0.2">
      <c r="A177" s="537" t="str">
        <f t="shared" si="4"/>
        <v>Moray.2012.Employment.Direct Employment</v>
      </c>
      <c r="B177" s="537" t="s">
        <v>196</v>
      </c>
      <c r="C177" s="537" t="str">
        <f t="shared" si="5"/>
        <v>2012.Employment.Direct Employment</v>
      </c>
      <c r="D177" s="537" t="s">
        <v>207</v>
      </c>
      <c r="E177" s="537" t="s">
        <v>21</v>
      </c>
      <c r="F177" s="537" t="s">
        <v>56</v>
      </c>
      <c r="G177" s="537" t="s">
        <v>56</v>
      </c>
      <c r="H177" s="537">
        <v>2116.2606515576381</v>
      </c>
      <c r="I177" s="537">
        <v>2074.3417360417275</v>
      </c>
      <c r="J177" s="537">
        <v>2244.1630660050187</v>
      </c>
      <c r="K177" s="537">
        <v>2162.7238021148769</v>
      </c>
      <c r="L177" s="537">
        <v>2267.541061198976</v>
      </c>
      <c r="M177" s="537">
        <v>2458.2599853849574</v>
      </c>
      <c r="N177" s="537">
        <v>2653.7728019399715</v>
      </c>
      <c r="O177" s="537">
        <v>2620.3754760043466</v>
      </c>
      <c r="P177" s="537">
        <v>2213.1248698329837</v>
      </c>
      <c r="Q177" s="537">
        <v>2102.53706273019</v>
      </c>
      <c r="R177" s="537">
        <v>1791.7950169260944</v>
      </c>
      <c r="S177" s="537">
        <v>1858.5163464283773</v>
      </c>
      <c r="T177" s="537">
        <v>2213.6176563470963</v>
      </c>
      <c r="U177" s="537" t="s">
        <v>60</v>
      </c>
    </row>
    <row r="178" spans="1:21" x14ac:dyDescent="0.2">
      <c r="A178" s="537" t="str">
        <f t="shared" si="4"/>
        <v>Moray.2012.Employment.Indirect Employment</v>
      </c>
      <c r="B178" s="537" t="s">
        <v>196</v>
      </c>
      <c r="C178" s="537" t="str">
        <f t="shared" si="5"/>
        <v>2012.Employment.Indirect Employment</v>
      </c>
      <c r="D178" s="537" t="s">
        <v>207</v>
      </c>
      <c r="E178" s="537" t="s">
        <v>21</v>
      </c>
      <c r="F178" s="537" t="s">
        <v>54</v>
      </c>
      <c r="G178" s="537" t="s">
        <v>54</v>
      </c>
      <c r="H178" s="537">
        <v>297.55995001215183</v>
      </c>
      <c r="I178" s="537">
        <v>289.94118218078722</v>
      </c>
      <c r="J178" s="537">
        <v>351.01160732575312</v>
      </c>
      <c r="K178" s="537">
        <v>350.62908296482317</v>
      </c>
      <c r="L178" s="537">
        <v>392.10173977424523</v>
      </c>
      <c r="M178" s="537">
        <v>474.582447243724</v>
      </c>
      <c r="N178" s="537">
        <v>575.15452785489242</v>
      </c>
      <c r="O178" s="537">
        <v>605.84070644900112</v>
      </c>
      <c r="P178" s="537">
        <v>387.82408254498006</v>
      </c>
      <c r="Q178" s="537">
        <v>336.756806139297</v>
      </c>
      <c r="R178" s="537">
        <v>199.14938259704334</v>
      </c>
      <c r="S178" s="537">
        <v>219.61829540923017</v>
      </c>
      <c r="T178" s="537">
        <v>373.34748420799406</v>
      </c>
      <c r="U178" s="537" t="s">
        <v>60</v>
      </c>
    </row>
    <row r="179" spans="1:21" x14ac:dyDescent="0.2">
      <c r="A179" s="537" t="str">
        <f t="shared" si="4"/>
        <v>Moray.2012.Employment.Total</v>
      </c>
      <c r="B179" s="537" t="s">
        <v>196</v>
      </c>
      <c r="C179" s="537" t="str">
        <f t="shared" si="5"/>
        <v>2012.Employment.Total</v>
      </c>
      <c r="D179" s="537" t="s">
        <v>207</v>
      </c>
      <c r="E179" s="537" t="s">
        <v>21</v>
      </c>
      <c r="F179" s="537" t="s">
        <v>55</v>
      </c>
      <c r="G179" s="537" t="s">
        <v>55</v>
      </c>
      <c r="H179" s="537">
        <v>2413.8206015697897</v>
      </c>
      <c r="I179" s="537">
        <v>2364.2829182225146</v>
      </c>
      <c r="J179" s="537">
        <v>2595.1746733307718</v>
      </c>
      <c r="K179" s="537">
        <v>2513.3528850797002</v>
      </c>
      <c r="L179" s="537">
        <v>2659.6428009732213</v>
      </c>
      <c r="M179" s="537">
        <v>2932.8424326286813</v>
      </c>
      <c r="N179" s="537">
        <v>3228.9273297948639</v>
      </c>
      <c r="O179" s="537">
        <v>3226.2161824533478</v>
      </c>
      <c r="P179" s="537">
        <v>2600.9489523779639</v>
      </c>
      <c r="Q179" s="537">
        <v>2439.2938688694871</v>
      </c>
      <c r="R179" s="537">
        <v>1990.9443995231377</v>
      </c>
      <c r="S179" s="537">
        <v>2078.1346418376074</v>
      </c>
      <c r="T179" s="537">
        <v>2586.9651405550908</v>
      </c>
      <c r="U179" s="537" t="s">
        <v>60</v>
      </c>
    </row>
    <row r="180" spans="1:21" x14ac:dyDescent="0.2">
      <c r="A180" s="537" t="str">
        <f t="shared" si="4"/>
        <v>Moray.2012.Employment.Accommodation</v>
      </c>
      <c r="B180" s="537" t="s">
        <v>196</v>
      </c>
      <c r="C180" s="537" t="str">
        <f t="shared" si="5"/>
        <v>2012.Employment.Accommodation</v>
      </c>
      <c r="D180" s="537" t="s">
        <v>207</v>
      </c>
      <c r="E180" s="537" t="s">
        <v>21</v>
      </c>
      <c r="F180" s="537" t="s">
        <v>24</v>
      </c>
      <c r="G180" s="537" t="s">
        <v>24</v>
      </c>
      <c r="H180" s="537">
        <v>1304.9492187946914</v>
      </c>
      <c r="I180" s="537">
        <v>1304.5414625525686</v>
      </c>
      <c r="J180" s="537">
        <v>1318.7771213995452</v>
      </c>
      <c r="K180" s="537">
        <v>1361.7786802519249</v>
      </c>
      <c r="L180" s="537">
        <v>1371.1870116156283</v>
      </c>
      <c r="M180" s="537">
        <v>1373.8</v>
      </c>
      <c r="N180" s="537">
        <v>1491.9204819277106</v>
      </c>
      <c r="O180" s="537">
        <v>1376.9851851851849</v>
      </c>
      <c r="P180" s="537">
        <v>1373.1870116156283</v>
      </c>
      <c r="Q180" s="537">
        <v>1362.2435668911999</v>
      </c>
      <c r="R180" s="537">
        <v>1309.7286458164356</v>
      </c>
      <c r="S180" s="537">
        <v>1296.7351124413376</v>
      </c>
      <c r="T180" s="537">
        <v>1353.8194582076546</v>
      </c>
      <c r="U180" s="537" t="s">
        <v>60</v>
      </c>
    </row>
    <row r="181" spans="1:21" x14ac:dyDescent="0.2">
      <c r="A181" s="537" t="str">
        <f t="shared" si="4"/>
        <v>Moray.2012.Employment.Food &amp; Drink</v>
      </c>
      <c r="B181" s="537" t="s">
        <v>196</v>
      </c>
      <c r="C181" s="537" t="str">
        <f t="shared" si="5"/>
        <v>2012.Employment.Food &amp; Drink</v>
      </c>
      <c r="D181" s="537" t="s">
        <v>207</v>
      </c>
      <c r="E181" s="537" t="s">
        <v>21</v>
      </c>
      <c r="F181" s="537" t="s">
        <v>50</v>
      </c>
      <c r="G181" s="537" t="s">
        <v>50</v>
      </c>
      <c r="H181" s="537">
        <v>296.81950822978808</v>
      </c>
      <c r="I181" s="537">
        <v>288.5433449056851</v>
      </c>
      <c r="J181" s="537">
        <v>345.54559330068071</v>
      </c>
      <c r="K181" s="537">
        <v>259.54250873541804</v>
      </c>
      <c r="L181" s="537">
        <v>287.15002086370578</v>
      </c>
      <c r="M181" s="537">
        <v>338.1343456717176</v>
      </c>
      <c r="N181" s="537">
        <v>354.45232697239572</v>
      </c>
      <c r="O181" s="537">
        <v>384.79881022223628</v>
      </c>
      <c r="P181" s="537">
        <v>261.89374181858875</v>
      </c>
      <c r="Q181" s="537">
        <v>243.03725059745426</v>
      </c>
      <c r="R181" s="537">
        <v>173.76527782849726</v>
      </c>
      <c r="S181" s="537">
        <v>197.34992126486134</v>
      </c>
      <c r="T181" s="537">
        <v>285.91938753425239</v>
      </c>
      <c r="U181" s="537" t="s">
        <v>60</v>
      </c>
    </row>
    <row r="182" spans="1:21" x14ac:dyDescent="0.2">
      <c r="A182" s="537" t="str">
        <f t="shared" si="4"/>
        <v>Moray.2012.Employment.Recreation</v>
      </c>
      <c r="B182" s="537" t="s">
        <v>196</v>
      </c>
      <c r="C182" s="537" t="str">
        <f t="shared" si="5"/>
        <v>2012.Employment.Recreation</v>
      </c>
      <c r="D182" s="537" t="s">
        <v>207</v>
      </c>
      <c r="E182" s="537" t="s">
        <v>21</v>
      </c>
      <c r="F182" s="537" t="s">
        <v>51</v>
      </c>
      <c r="G182" s="537" t="s">
        <v>51</v>
      </c>
      <c r="H182" s="537">
        <v>119.67113767573468</v>
      </c>
      <c r="I182" s="537">
        <v>136.26863347932792</v>
      </c>
      <c r="J182" s="537">
        <v>160.28137621672937</v>
      </c>
      <c r="K182" s="537">
        <v>102.57319725587372</v>
      </c>
      <c r="L182" s="537">
        <v>111.18616346868224</v>
      </c>
      <c r="M182" s="537">
        <v>134.26441682189275</v>
      </c>
      <c r="N182" s="537">
        <v>170.93792901674078</v>
      </c>
      <c r="O182" s="537">
        <v>175.15966285158763</v>
      </c>
      <c r="P182" s="537">
        <v>116.95149101904208</v>
      </c>
      <c r="Q182" s="537">
        <v>117.57771871103637</v>
      </c>
      <c r="R182" s="537">
        <v>78.182467634953881</v>
      </c>
      <c r="S182" s="537">
        <v>79.29838085639139</v>
      </c>
      <c r="T182" s="537">
        <v>125.19604791733273</v>
      </c>
      <c r="U182" s="537" t="s">
        <v>60</v>
      </c>
    </row>
    <row r="183" spans="1:21" x14ac:dyDescent="0.2">
      <c r="A183" s="537" t="str">
        <f t="shared" si="4"/>
        <v>Moray.2012.Employment.Shopping</v>
      </c>
      <c r="B183" s="537" t="s">
        <v>196</v>
      </c>
      <c r="C183" s="537" t="str">
        <f t="shared" si="5"/>
        <v>2012.Employment.Shopping</v>
      </c>
      <c r="D183" s="537" t="s">
        <v>207</v>
      </c>
      <c r="E183" s="537" t="s">
        <v>21</v>
      </c>
      <c r="F183" s="537" t="s">
        <v>52</v>
      </c>
      <c r="G183" s="537" t="s">
        <v>52</v>
      </c>
      <c r="H183" s="537">
        <v>150.1831712912979</v>
      </c>
      <c r="I183" s="537">
        <v>136.90130698948334</v>
      </c>
      <c r="J183" s="537">
        <v>164.34461766211936</v>
      </c>
      <c r="K183" s="537">
        <v>140.82340196568458</v>
      </c>
      <c r="L183" s="537">
        <v>163.90147240311245</v>
      </c>
      <c r="M183" s="537">
        <v>191.46118896822441</v>
      </c>
      <c r="N183" s="537">
        <v>233.55922696703212</v>
      </c>
      <c r="O183" s="537">
        <v>239.03242195299842</v>
      </c>
      <c r="P183" s="537">
        <v>155.15883119603458</v>
      </c>
      <c r="Q183" s="537">
        <v>135.38387253039181</v>
      </c>
      <c r="R183" s="537">
        <v>91.791809944420265</v>
      </c>
      <c r="S183" s="537">
        <v>119.69219403620713</v>
      </c>
      <c r="T183" s="537">
        <v>160.18612632558384</v>
      </c>
      <c r="U183" s="537" t="s">
        <v>60</v>
      </c>
    </row>
    <row r="184" spans="1:21" x14ac:dyDescent="0.2">
      <c r="A184" s="537" t="str">
        <f t="shared" si="4"/>
        <v>Moray.2012.Employment.Transport</v>
      </c>
      <c r="B184" s="537" t="s">
        <v>196</v>
      </c>
      <c r="C184" s="537" t="str">
        <f t="shared" si="5"/>
        <v>2012.Employment.Transport</v>
      </c>
      <c r="D184" s="537" t="s">
        <v>207</v>
      </c>
      <c r="E184" s="537" t="s">
        <v>21</v>
      </c>
      <c r="F184" s="537" t="s">
        <v>53</v>
      </c>
      <c r="G184" s="537" t="s">
        <v>53</v>
      </c>
      <c r="H184" s="537">
        <v>244.63761556612582</v>
      </c>
      <c r="I184" s="537">
        <v>208.08698811466255</v>
      </c>
      <c r="J184" s="537">
        <v>255.21435742594372</v>
      </c>
      <c r="K184" s="537">
        <v>298.00601390597569</v>
      </c>
      <c r="L184" s="537">
        <v>334.11639284784684</v>
      </c>
      <c r="M184" s="537">
        <v>420.60003392312262</v>
      </c>
      <c r="N184" s="537">
        <v>402.90283705609181</v>
      </c>
      <c r="O184" s="537">
        <v>444.39939579233902</v>
      </c>
      <c r="P184" s="537">
        <v>305.93379418369</v>
      </c>
      <c r="Q184" s="537">
        <v>244.29465400010736</v>
      </c>
      <c r="R184" s="537">
        <v>138.32681570178755</v>
      </c>
      <c r="S184" s="537">
        <v>165.44073782958</v>
      </c>
      <c r="T184" s="537">
        <v>288.49663636227274</v>
      </c>
      <c r="U184" s="537" t="s">
        <v>60</v>
      </c>
    </row>
    <row r="185" spans="1:21" x14ac:dyDescent="0.2">
      <c r="A185" s="537" t="str">
        <f t="shared" si="4"/>
        <v>Moray.2012.Visitor Days.Serviced Accommodation</v>
      </c>
      <c r="B185" s="537" t="s">
        <v>196</v>
      </c>
      <c r="C185" s="537" t="str">
        <f t="shared" si="5"/>
        <v>2012.Visitor Days.Serviced Accommodation</v>
      </c>
      <c r="D185" s="537" t="s">
        <v>207</v>
      </c>
      <c r="E185" s="537" t="s">
        <v>175</v>
      </c>
      <c r="F185" s="537" t="s">
        <v>44</v>
      </c>
      <c r="G185" s="537" t="s">
        <v>44</v>
      </c>
      <c r="H185" s="537">
        <v>25.518057686626587</v>
      </c>
      <c r="I185" s="537">
        <v>25.036974936158742</v>
      </c>
      <c r="J185" s="537">
        <v>32.778977058319043</v>
      </c>
      <c r="K185" s="537">
        <v>34.248297264639064</v>
      </c>
      <c r="L185" s="537">
        <v>33.750103553440361</v>
      </c>
      <c r="M185" s="537">
        <v>42.258305085784556</v>
      </c>
      <c r="N185" s="537">
        <v>50.450573077651832</v>
      </c>
      <c r="O185" s="537">
        <v>49.538411844840709</v>
      </c>
      <c r="P185" s="537">
        <v>42.903039424624076</v>
      </c>
      <c r="Q185" s="537">
        <v>35.092498471852963</v>
      </c>
      <c r="R185" s="537">
        <v>21.490037943480402</v>
      </c>
      <c r="S185" s="537">
        <v>18.832805033463536</v>
      </c>
      <c r="T185" s="537">
        <v>411.89808138088182</v>
      </c>
      <c r="U185" s="537" t="s">
        <v>62</v>
      </c>
    </row>
    <row r="186" spans="1:21" x14ac:dyDescent="0.2">
      <c r="A186" s="537" t="str">
        <f t="shared" si="4"/>
        <v>Moray.2012.Visitor Days.Non-Serviced Accommodation</v>
      </c>
      <c r="B186" s="537" t="s">
        <v>196</v>
      </c>
      <c r="C186" s="537" t="str">
        <f t="shared" si="5"/>
        <v>2012.Visitor Days.Non-Serviced Accommodation</v>
      </c>
      <c r="D186" s="537" t="s">
        <v>207</v>
      </c>
      <c r="E186" s="537" t="s">
        <v>175</v>
      </c>
      <c r="F186" s="537" t="s">
        <v>49</v>
      </c>
      <c r="G186" s="537" t="s">
        <v>49</v>
      </c>
      <c r="H186" s="537">
        <v>7.1513035955663691</v>
      </c>
      <c r="I186" s="537">
        <v>9.0829407870540653</v>
      </c>
      <c r="J186" s="537">
        <v>11.159174092788239</v>
      </c>
      <c r="K186" s="537">
        <v>45.183943496592029</v>
      </c>
      <c r="L186" s="537">
        <v>56.672048638011674</v>
      </c>
      <c r="M186" s="537">
        <v>69.271838928297285</v>
      </c>
      <c r="N186" s="537">
        <v>76.008929363715879</v>
      </c>
      <c r="O186" s="537">
        <v>81.697023226315707</v>
      </c>
      <c r="P186" s="537">
        <v>61.469925754698686</v>
      </c>
      <c r="Q186" s="537">
        <v>42.480288696076542</v>
      </c>
      <c r="R186" s="537">
        <v>10.525194304360722</v>
      </c>
      <c r="S186" s="537">
        <v>9.3831529411764709</v>
      </c>
      <c r="T186" s="537">
        <v>480.08576382465372</v>
      </c>
      <c r="U186" s="537" t="s">
        <v>62</v>
      </c>
    </row>
    <row r="187" spans="1:21" x14ac:dyDescent="0.2">
      <c r="A187" s="537" t="str">
        <f t="shared" si="4"/>
        <v>Moray.2012.Visitor Days.SFR</v>
      </c>
      <c r="B187" s="537" t="s">
        <v>196</v>
      </c>
      <c r="C187" s="537" t="str">
        <f t="shared" si="5"/>
        <v>2012.Visitor Days.SFR</v>
      </c>
      <c r="D187" s="537" t="s">
        <v>207</v>
      </c>
      <c r="E187" s="537" t="s">
        <v>175</v>
      </c>
      <c r="F187" s="537" t="s">
        <v>19</v>
      </c>
      <c r="G187" s="537" t="s">
        <v>19</v>
      </c>
      <c r="H187" s="537">
        <v>36.424850656926246</v>
      </c>
      <c r="I187" s="537">
        <v>20.040017394543629</v>
      </c>
      <c r="J187" s="537">
        <v>24.804480368741157</v>
      </c>
      <c r="K187" s="537">
        <v>41.104534003204151</v>
      </c>
      <c r="L187" s="537">
        <v>31.863472601486912</v>
      </c>
      <c r="M187" s="537">
        <v>45.195138420776914</v>
      </c>
      <c r="N187" s="537">
        <v>48.394659387016873</v>
      </c>
      <c r="O187" s="537">
        <v>86.591226851179499</v>
      </c>
      <c r="P187" s="537">
        <v>35.837595734358601</v>
      </c>
      <c r="Q187" s="537">
        <v>29.40234394943699</v>
      </c>
      <c r="R187" s="537">
        <v>26.125161322887109</v>
      </c>
      <c r="S187" s="537">
        <v>64.453024514716503</v>
      </c>
      <c r="T187" s="537">
        <v>490.23650520527463</v>
      </c>
      <c r="U187" s="537" t="s">
        <v>62</v>
      </c>
    </row>
    <row r="188" spans="1:21" x14ac:dyDescent="0.2">
      <c r="A188" s="537" t="str">
        <f t="shared" si="4"/>
        <v>Moray.2012.Visitor Days.Day Visitor</v>
      </c>
      <c r="B188" s="537" t="s">
        <v>196</v>
      </c>
      <c r="C188" s="537" t="str">
        <f t="shared" si="5"/>
        <v>2012.Visitor Days.Day Visitor</v>
      </c>
      <c r="D188" s="537" t="s">
        <v>207</v>
      </c>
      <c r="E188" s="537" t="s">
        <v>175</v>
      </c>
      <c r="F188" s="537" t="s">
        <v>73</v>
      </c>
      <c r="G188" s="537" t="s">
        <v>73</v>
      </c>
      <c r="H188" s="537">
        <v>20.653401530582386</v>
      </c>
      <c r="I188" s="537">
        <v>30.820653456824424</v>
      </c>
      <c r="J188" s="537">
        <v>34.06127088352649</v>
      </c>
      <c r="K188" s="537">
        <v>15.512632966183824</v>
      </c>
      <c r="L188" s="537">
        <v>33.963222884028269</v>
      </c>
      <c r="M188" s="537">
        <v>27.994400964492836</v>
      </c>
      <c r="N188" s="537">
        <v>31.068670682647845</v>
      </c>
      <c r="O188" s="537">
        <v>19.714040017747148</v>
      </c>
      <c r="P188" s="537">
        <v>8.7769118767371399</v>
      </c>
      <c r="Q188" s="537">
        <v>12.750356722787489</v>
      </c>
      <c r="R188" s="537">
        <v>12.292931347798115</v>
      </c>
      <c r="S188" s="537">
        <v>10.137860437655842</v>
      </c>
      <c r="T188" s="537">
        <v>257.7463537710118</v>
      </c>
      <c r="U188" s="537" t="s">
        <v>62</v>
      </c>
    </row>
    <row r="189" spans="1:21" x14ac:dyDescent="0.2">
      <c r="A189" s="537" t="str">
        <f t="shared" si="4"/>
        <v>Moray.2012.Visitor Days.Total</v>
      </c>
      <c r="B189" s="537" t="s">
        <v>196</v>
      </c>
      <c r="C189" s="537" t="str">
        <f t="shared" si="5"/>
        <v>2012.Visitor Days.Total</v>
      </c>
      <c r="D189" s="537" t="s">
        <v>207</v>
      </c>
      <c r="E189" s="537" t="s">
        <v>175</v>
      </c>
      <c r="F189" s="537" t="s">
        <v>55</v>
      </c>
      <c r="G189" s="537" t="s">
        <v>55</v>
      </c>
      <c r="H189" s="537">
        <v>89.747613469701591</v>
      </c>
      <c r="I189" s="537">
        <v>84.980586574580855</v>
      </c>
      <c r="J189" s="537">
        <v>102.80390240337493</v>
      </c>
      <c r="K189" s="537">
        <v>136.04940773061907</v>
      </c>
      <c r="L189" s="537">
        <v>156.24884767696722</v>
      </c>
      <c r="M189" s="537">
        <v>184.71968339935157</v>
      </c>
      <c r="N189" s="537">
        <v>205.92283251103242</v>
      </c>
      <c r="O189" s="537">
        <v>237.54070194008307</v>
      </c>
      <c r="P189" s="537">
        <v>148.98747279041851</v>
      </c>
      <c r="Q189" s="537">
        <v>119.72548784015397</v>
      </c>
      <c r="R189" s="537">
        <v>70.433324918526353</v>
      </c>
      <c r="S189" s="537">
        <v>102.80684292701235</v>
      </c>
      <c r="T189" s="537">
        <v>1639.9667041818218</v>
      </c>
      <c r="U189" s="537" t="s">
        <v>62</v>
      </c>
    </row>
    <row r="190" spans="1:21" x14ac:dyDescent="0.2">
      <c r="A190" s="537" t="str">
        <f t="shared" si="4"/>
        <v>Moray.2012.Visitor Numbers.Serviced Accommodation</v>
      </c>
      <c r="B190" s="537" t="s">
        <v>196</v>
      </c>
      <c r="C190" s="537" t="str">
        <f t="shared" si="5"/>
        <v>2012.Visitor Numbers.Serviced Accommodation</v>
      </c>
      <c r="D190" s="537" t="s">
        <v>207</v>
      </c>
      <c r="E190" s="537" t="s">
        <v>176</v>
      </c>
      <c r="F190" s="537" t="s">
        <v>44</v>
      </c>
      <c r="G190" s="537" t="s">
        <v>44</v>
      </c>
      <c r="H190" s="537">
        <v>11.019831655463332</v>
      </c>
      <c r="I190" s="537">
        <v>11.229290661176041</v>
      </c>
      <c r="J190" s="537">
        <v>14.292200970400533</v>
      </c>
      <c r="K190" s="537">
        <v>11.728969753262628</v>
      </c>
      <c r="L190" s="537">
        <v>20.267234953597502</v>
      </c>
      <c r="M190" s="537">
        <v>23.104102729799152</v>
      </c>
      <c r="N190" s="537">
        <v>28.622610563752893</v>
      </c>
      <c r="O190" s="537">
        <v>28.263205189018819</v>
      </c>
      <c r="P190" s="537">
        <v>24.137481923055596</v>
      </c>
      <c r="Q190" s="537">
        <v>17.480798361676268</v>
      </c>
      <c r="R190" s="537">
        <v>11.632837715107801</v>
      </c>
      <c r="S190" s="537">
        <v>9.6015899432973377</v>
      </c>
      <c r="T190" s="537">
        <v>211.38015441960792</v>
      </c>
      <c r="U190" s="537" t="s">
        <v>62</v>
      </c>
    </row>
    <row r="191" spans="1:21" x14ac:dyDescent="0.2">
      <c r="A191" s="537" t="str">
        <f t="shared" si="4"/>
        <v>Moray.2012.Visitor Numbers.Non-Serviced Accommodation</v>
      </c>
      <c r="B191" s="537" t="s">
        <v>196</v>
      </c>
      <c r="C191" s="537" t="str">
        <f t="shared" si="5"/>
        <v>2012.Visitor Numbers.Non-Serviced Accommodation</v>
      </c>
      <c r="D191" s="537" t="s">
        <v>207</v>
      </c>
      <c r="E191" s="537" t="s">
        <v>176</v>
      </c>
      <c r="F191" s="537" t="s">
        <v>49</v>
      </c>
      <c r="G191" s="537" t="s">
        <v>49</v>
      </c>
      <c r="H191" s="537">
        <v>0.7629016058713326</v>
      </c>
      <c r="I191" s="537">
        <v>1.5349044532345684</v>
      </c>
      <c r="J191" s="537">
        <v>1.4434896257308445</v>
      </c>
      <c r="K191" s="537">
        <v>8.9876448302105914</v>
      </c>
      <c r="L191" s="537">
        <v>8.0891093336794562</v>
      </c>
      <c r="M191" s="537">
        <v>9.038606920243609</v>
      </c>
      <c r="N191" s="537">
        <v>9.5738427780631845</v>
      </c>
      <c r="O191" s="537">
        <v>10.091164248107642</v>
      </c>
      <c r="P191" s="537">
        <v>7.9995135397212778</v>
      </c>
      <c r="Q191" s="537">
        <v>5.6871876771492298</v>
      </c>
      <c r="R191" s="537">
        <v>1.5813113372188314</v>
      </c>
      <c r="S191" s="537">
        <v>1.2943187991399829</v>
      </c>
      <c r="T191" s="537">
        <v>66.083995148370562</v>
      </c>
      <c r="U191" s="537" t="s">
        <v>62</v>
      </c>
    </row>
    <row r="192" spans="1:21" x14ac:dyDescent="0.2">
      <c r="A192" s="537" t="str">
        <f t="shared" si="4"/>
        <v>Moray.2012.Visitor Numbers.SFR</v>
      </c>
      <c r="B192" s="537" t="s">
        <v>196</v>
      </c>
      <c r="C192" s="537" t="str">
        <f t="shared" si="5"/>
        <v>2012.Visitor Numbers.SFR</v>
      </c>
      <c r="D192" s="537" t="s">
        <v>207</v>
      </c>
      <c r="E192" s="537" t="s">
        <v>176</v>
      </c>
      <c r="F192" s="537" t="s">
        <v>19</v>
      </c>
      <c r="G192" s="537" t="s">
        <v>19</v>
      </c>
      <c r="H192" s="537">
        <v>9.6617640999804362</v>
      </c>
      <c r="I192" s="537">
        <v>5.808700694070617</v>
      </c>
      <c r="J192" s="537">
        <v>7.3822858240301068</v>
      </c>
      <c r="K192" s="537">
        <v>10.459168957558308</v>
      </c>
      <c r="L192" s="537">
        <v>8.0463314650219466</v>
      </c>
      <c r="M192" s="537">
        <v>8.9851169822618111</v>
      </c>
      <c r="N192" s="537">
        <v>7.0649137791265515</v>
      </c>
      <c r="O192" s="537">
        <v>13.404214682845124</v>
      </c>
      <c r="P192" s="537">
        <v>8.3537519194309091</v>
      </c>
      <c r="Q192" s="537">
        <v>7.8615892912933125</v>
      </c>
      <c r="R192" s="537">
        <v>7.0799895183975909</v>
      </c>
      <c r="S192" s="537">
        <v>14.419021144231881</v>
      </c>
      <c r="T192" s="537">
        <v>108.5268483582486</v>
      </c>
      <c r="U192" s="537" t="s">
        <v>62</v>
      </c>
    </row>
    <row r="193" spans="1:21" x14ac:dyDescent="0.2">
      <c r="A193" s="537" t="str">
        <f t="shared" si="4"/>
        <v>Moray.2012.Visitor Numbers.Day Visitor</v>
      </c>
      <c r="B193" s="537" t="s">
        <v>196</v>
      </c>
      <c r="C193" s="537" t="str">
        <f t="shared" si="5"/>
        <v>2012.Visitor Numbers.Day Visitor</v>
      </c>
      <c r="D193" s="537" t="s">
        <v>207</v>
      </c>
      <c r="E193" s="537" t="s">
        <v>176</v>
      </c>
      <c r="F193" s="537" t="s">
        <v>73</v>
      </c>
      <c r="G193" s="537" t="s">
        <v>73</v>
      </c>
      <c r="H193" s="537">
        <v>20.653401530582386</v>
      </c>
      <c r="I193" s="537">
        <v>30.820653456824424</v>
      </c>
      <c r="J193" s="537">
        <v>34.06127088352649</v>
      </c>
      <c r="K193" s="537">
        <v>15.512632966183824</v>
      </c>
      <c r="L193" s="537">
        <v>33.963222884028269</v>
      </c>
      <c r="M193" s="537">
        <v>27.994400964492836</v>
      </c>
      <c r="N193" s="537">
        <v>31.068670682647845</v>
      </c>
      <c r="O193" s="537">
        <v>19.714040017747148</v>
      </c>
      <c r="P193" s="537">
        <v>8.7769118767371399</v>
      </c>
      <c r="Q193" s="537">
        <v>12.750356722787489</v>
      </c>
      <c r="R193" s="537">
        <v>12.292931347798115</v>
      </c>
      <c r="S193" s="537">
        <v>10.137860437655842</v>
      </c>
      <c r="T193" s="537">
        <v>257.7463537710118</v>
      </c>
      <c r="U193" s="537" t="s">
        <v>62</v>
      </c>
    </row>
    <row r="194" spans="1:21" x14ac:dyDescent="0.2">
      <c r="A194" s="537" t="str">
        <f t="shared" si="4"/>
        <v>Moray.2012.Visitor Numbers.Total</v>
      </c>
      <c r="B194" s="537" t="s">
        <v>196</v>
      </c>
      <c r="C194" s="537" t="str">
        <f t="shared" si="5"/>
        <v>2012.Visitor Numbers.Total</v>
      </c>
      <c r="D194" s="537" t="s">
        <v>207</v>
      </c>
      <c r="E194" s="537" t="s">
        <v>176</v>
      </c>
      <c r="F194" s="537" t="s">
        <v>55</v>
      </c>
      <c r="G194" s="537" t="s">
        <v>55</v>
      </c>
      <c r="H194" s="537">
        <v>42.097898891897486</v>
      </c>
      <c r="I194" s="537">
        <v>49.393549265305651</v>
      </c>
      <c r="J194" s="537">
        <v>57.179247303687973</v>
      </c>
      <c r="K194" s="537">
        <v>46.688416507215351</v>
      </c>
      <c r="L194" s="537">
        <v>70.365898636327174</v>
      </c>
      <c r="M194" s="537">
        <v>69.122227596797416</v>
      </c>
      <c r="N194" s="537">
        <v>76.330037803590471</v>
      </c>
      <c r="O194" s="537">
        <v>71.472624137718739</v>
      </c>
      <c r="P194" s="537">
        <v>49.267659258944924</v>
      </c>
      <c r="Q194" s="537">
        <v>43.779932052906297</v>
      </c>
      <c r="R194" s="537">
        <v>32.587069918522339</v>
      </c>
      <c r="S194" s="537">
        <v>35.452790324325044</v>
      </c>
      <c r="T194" s="537">
        <v>643.73735169723886</v>
      </c>
      <c r="U194" s="537" t="s">
        <v>62</v>
      </c>
    </row>
    <row r="195" spans="1:21" x14ac:dyDescent="0.2">
      <c r="A195" s="537" t="str">
        <f t="shared" si="4"/>
        <v>Moray.2012.Vehicle Days.Serviced Accommodation</v>
      </c>
      <c r="B195" s="537" t="s">
        <v>196</v>
      </c>
      <c r="C195" s="537" t="str">
        <f t="shared" si="5"/>
        <v>2012.Vehicle Days.Serviced Accommodation</v>
      </c>
      <c r="D195" s="537" t="s">
        <v>207</v>
      </c>
      <c r="E195" s="537" t="s">
        <v>22</v>
      </c>
      <c r="F195" s="537" t="s">
        <v>44</v>
      </c>
      <c r="G195" s="537" t="s">
        <v>44</v>
      </c>
      <c r="H195" s="537">
        <v>5.5034258071042714</v>
      </c>
      <c r="I195" s="537">
        <v>5.7895399690453671</v>
      </c>
      <c r="J195" s="537">
        <v>7.609790883188202</v>
      </c>
      <c r="K195" s="537">
        <v>6.7904713329879129</v>
      </c>
      <c r="L195" s="537">
        <v>7.1532733840122802</v>
      </c>
      <c r="M195" s="537">
        <v>8.4041773501545673</v>
      </c>
      <c r="N195" s="537">
        <v>10.473109257841521</v>
      </c>
      <c r="O195" s="537">
        <v>10.308789129673405</v>
      </c>
      <c r="P195" s="537">
        <v>9.1040933033917995</v>
      </c>
      <c r="Q195" s="537">
        <v>7.4752163746114331</v>
      </c>
      <c r="R195" s="537">
        <v>4.6816905211538264</v>
      </c>
      <c r="S195" s="537">
        <v>4.116432301191395</v>
      </c>
      <c r="T195" s="537">
        <v>87.410009614355985</v>
      </c>
      <c r="U195" s="537" t="s">
        <v>62</v>
      </c>
    </row>
    <row r="196" spans="1:21" x14ac:dyDescent="0.2">
      <c r="A196" s="537" t="str">
        <f t="shared" si="4"/>
        <v>Moray.2012.Vehicle Days.Non-Serviced Accommodation</v>
      </c>
      <c r="B196" s="537" t="s">
        <v>196</v>
      </c>
      <c r="C196" s="537" t="str">
        <f t="shared" si="5"/>
        <v>2012.Vehicle Days.Non-Serviced Accommodation</v>
      </c>
      <c r="D196" s="537" t="s">
        <v>207</v>
      </c>
      <c r="E196" s="537" t="s">
        <v>22</v>
      </c>
      <c r="F196" s="537" t="s">
        <v>49</v>
      </c>
      <c r="G196" s="537" t="s">
        <v>49</v>
      </c>
      <c r="H196" s="537">
        <v>1.4994668829413356</v>
      </c>
      <c r="I196" s="537">
        <v>1.7890640944197405</v>
      </c>
      <c r="J196" s="537">
        <v>2.5011941932111572</v>
      </c>
      <c r="K196" s="537">
        <v>7.2258816053455552</v>
      </c>
      <c r="L196" s="537">
        <v>10.35492774878092</v>
      </c>
      <c r="M196" s="537">
        <v>11.574934698555401</v>
      </c>
      <c r="N196" s="537">
        <v>13.453615095502725</v>
      </c>
      <c r="O196" s="537">
        <v>14.458971330770646</v>
      </c>
      <c r="P196" s="537">
        <v>11.415843354444043</v>
      </c>
      <c r="Q196" s="537">
        <v>7.8891964721284999</v>
      </c>
      <c r="R196" s="537">
        <v>1.9546789422384199</v>
      </c>
      <c r="S196" s="537">
        <v>1.7425855462184876</v>
      </c>
      <c r="T196" s="537">
        <v>85.860359964556935</v>
      </c>
      <c r="U196" s="537" t="s">
        <v>62</v>
      </c>
    </row>
    <row r="197" spans="1:21" x14ac:dyDescent="0.2">
      <c r="A197" s="537" t="str">
        <f t="shared" si="4"/>
        <v>Moray.2012.Vehicle Days.SFR</v>
      </c>
      <c r="B197" s="537" t="s">
        <v>196</v>
      </c>
      <c r="C197" s="537" t="str">
        <f t="shared" si="5"/>
        <v>2012.Vehicle Days.SFR</v>
      </c>
      <c r="D197" s="537" t="s">
        <v>207</v>
      </c>
      <c r="E197" s="537" t="s">
        <v>22</v>
      </c>
      <c r="F197" s="537" t="s">
        <v>19</v>
      </c>
      <c r="G197" s="537" t="s">
        <v>19</v>
      </c>
      <c r="H197" s="537">
        <v>10.198958183939348</v>
      </c>
      <c r="I197" s="537">
        <v>5.1010953367929233</v>
      </c>
      <c r="J197" s="537">
        <v>5.7877120860396021</v>
      </c>
      <c r="K197" s="537">
        <v>9.5910579340809683</v>
      </c>
      <c r="L197" s="537">
        <v>6.3726945202973821</v>
      </c>
      <c r="M197" s="537">
        <v>9.7343375060134871</v>
      </c>
      <c r="N197" s="537">
        <v>9.6789318774033735</v>
      </c>
      <c r="O197" s="537">
        <v>17.3182453702359</v>
      </c>
      <c r="P197" s="537">
        <v>8.3621056713503386</v>
      </c>
      <c r="Q197" s="537">
        <v>6.8605469215352972</v>
      </c>
      <c r="R197" s="537">
        <v>6.0958709753403255</v>
      </c>
      <c r="S197" s="537">
        <v>15.03903905343385</v>
      </c>
      <c r="T197" s="537">
        <v>110.14059543646282</v>
      </c>
      <c r="U197" s="537" t="s">
        <v>62</v>
      </c>
    </row>
    <row r="198" spans="1:21" x14ac:dyDescent="0.2">
      <c r="A198" s="537" t="str">
        <f t="shared" si="4"/>
        <v>Moray.2012.Vehicle Days.Day Visitor</v>
      </c>
      <c r="B198" s="537" t="s">
        <v>196</v>
      </c>
      <c r="C198" s="537" t="str">
        <f t="shared" si="5"/>
        <v>2012.Vehicle Days.Day Visitor</v>
      </c>
      <c r="D198" s="537" t="s">
        <v>207</v>
      </c>
      <c r="E198" s="537" t="s">
        <v>22</v>
      </c>
      <c r="F198" s="537" t="s">
        <v>73</v>
      </c>
      <c r="G198" s="537" t="s">
        <v>73</v>
      </c>
      <c r="H198" s="537">
        <v>4.7207774927045456</v>
      </c>
      <c r="I198" s="537">
        <v>7.0447207901312972</v>
      </c>
      <c r="J198" s="537">
        <v>7.2664044551523181</v>
      </c>
      <c r="K198" s="537">
        <v>3.1025265932367652</v>
      </c>
      <c r="L198" s="537">
        <v>6.792644576805654</v>
      </c>
      <c r="M198" s="537">
        <v>5.7424412234857103</v>
      </c>
      <c r="N198" s="537">
        <v>5.9178420347900662</v>
      </c>
      <c r="O198" s="537">
        <v>3.7550552414756475</v>
      </c>
      <c r="P198" s="537">
        <v>1.8724078670372568</v>
      </c>
      <c r="Q198" s="537">
        <v>2.720076100861331</v>
      </c>
      <c r="R198" s="537">
        <v>2.6224920208635982</v>
      </c>
      <c r="S198" s="537">
        <v>2.1627435600332467</v>
      </c>
      <c r="T198" s="537">
        <v>53.72013195657744</v>
      </c>
      <c r="U198" s="537" t="s">
        <v>62</v>
      </c>
    </row>
    <row r="199" spans="1:21" x14ac:dyDescent="0.2">
      <c r="A199" s="537" t="str">
        <f t="shared" si="4"/>
        <v>Moray.2012.Vehicle Days.Total</v>
      </c>
      <c r="B199" s="537" t="s">
        <v>196</v>
      </c>
      <c r="C199" s="537" t="str">
        <f t="shared" si="5"/>
        <v>2012.Vehicle Days.Total</v>
      </c>
      <c r="D199" s="537" t="s">
        <v>207</v>
      </c>
      <c r="E199" s="537" t="s">
        <v>22</v>
      </c>
      <c r="F199" s="537" t="s">
        <v>55</v>
      </c>
      <c r="G199" s="537" t="s">
        <v>55</v>
      </c>
      <c r="H199" s="537">
        <v>21.922628366689501</v>
      </c>
      <c r="I199" s="537">
        <v>19.724420190389328</v>
      </c>
      <c r="J199" s="537">
        <v>23.165101617591279</v>
      </c>
      <c r="K199" s="537">
        <v>26.709937465651201</v>
      </c>
      <c r="L199" s="537">
        <v>30.673540229896236</v>
      </c>
      <c r="M199" s="537">
        <v>35.455890778209167</v>
      </c>
      <c r="N199" s="537">
        <v>39.523498265537683</v>
      </c>
      <c r="O199" s="537">
        <v>45.841061072155597</v>
      </c>
      <c r="P199" s="537">
        <v>30.754450196223438</v>
      </c>
      <c r="Q199" s="537">
        <v>24.945035869136561</v>
      </c>
      <c r="R199" s="537">
        <v>15.354732459596169</v>
      </c>
      <c r="S199" s="537">
        <v>23.06080046087698</v>
      </c>
      <c r="T199" s="537">
        <v>337.13109697195313</v>
      </c>
      <c r="U199" s="537" t="s">
        <v>62</v>
      </c>
    </row>
    <row r="200" spans="1:21" x14ac:dyDescent="0.2">
      <c r="A200" s="537" t="str">
        <f t="shared" si="4"/>
        <v>Moray.2012.Vehicle Numbers.Serviced Accommodation</v>
      </c>
      <c r="B200" s="537" t="s">
        <v>196</v>
      </c>
      <c r="C200" s="537" t="str">
        <f t="shared" si="5"/>
        <v>2012.Vehicle Numbers.Serviced Accommodation</v>
      </c>
      <c r="D200" s="537" t="s">
        <v>207</v>
      </c>
      <c r="E200" s="537" t="s">
        <v>23</v>
      </c>
      <c r="F200" s="537" t="s">
        <v>44</v>
      </c>
      <c r="G200" s="537" t="s">
        <v>44</v>
      </c>
      <c r="H200" s="537">
        <v>2.3807894231304991</v>
      </c>
      <c r="I200" s="537">
        <v>2.600264574445343</v>
      </c>
      <c r="J200" s="537">
        <v>3.3037467999391632</v>
      </c>
      <c r="K200" s="537">
        <v>2.3522045578536521</v>
      </c>
      <c r="L200" s="537">
        <v>4.2879194698012704</v>
      </c>
      <c r="M200" s="537">
        <v>4.5553262161627828</v>
      </c>
      <c r="N200" s="537">
        <v>5.937499325069501</v>
      </c>
      <c r="O200" s="537">
        <v>5.8754121969342012</v>
      </c>
      <c r="P200" s="537">
        <v>5.1213117499444625</v>
      </c>
      <c r="Q200" s="537">
        <v>3.7287648525212274</v>
      </c>
      <c r="R200" s="537">
        <v>2.5326791236125272</v>
      </c>
      <c r="S200" s="537">
        <v>2.1160862822227853</v>
      </c>
      <c r="T200" s="537">
        <v>44.792004571637413</v>
      </c>
      <c r="U200" s="537" t="s">
        <v>62</v>
      </c>
    </row>
    <row r="201" spans="1:21" x14ac:dyDescent="0.2">
      <c r="A201" s="537" t="str">
        <f t="shared" ref="A201:A264" si="6">B201&amp;"."&amp;D201&amp;"."&amp;E201&amp;"."&amp;F201</f>
        <v>Moray.2012.Vehicle Numbers.Non-Serviced Accommodation</v>
      </c>
      <c r="B201" s="537" t="s">
        <v>196</v>
      </c>
      <c r="C201" s="537" t="str">
        <f t="shared" ref="C201:C264" si="7">D201&amp;"."&amp;E201&amp;"."&amp;F201</f>
        <v>2012.Vehicle Numbers.Non-Serviced Accommodation</v>
      </c>
      <c r="D201" s="537" t="s">
        <v>207</v>
      </c>
      <c r="E201" s="537" t="s">
        <v>23</v>
      </c>
      <c r="F201" s="537" t="s">
        <v>49</v>
      </c>
      <c r="G201" s="537" t="s">
        <v>49</v>
      </c>
      <c r="H201" s="537">
        <v>0.15996323994076328</v>
      </c>
      <c r="I201" s="537">
        <v>0.30232966503105141</v>
      </c>
      <c r="J201" s="537">
        <v>0.32354077818105137</v>
      </c>
      <c r="K201" s="537">
        <v>1.4373171624317411</v>
      </c>
      <c r="L201" s="537">
        <v>1.4780150835425827</v>
      </c>
      <c r="M201" s="537">
        <v>1.5103003830463253</v>
      </c>
      <c r="N201" s="537">
        <v>1.6945745295868715</v>
      </c>
      <c r="O201" s="537">
        <v>1.7859629249072473</v>
      </c>
      <c r="P201" s="537">
        <v>1.4856239430910945</v>
      </c>
      <c r="Q201" s="537">
        <v>1.056191997184857</v>
      </c>
      <c r="R201" s="537">
        <v>0.29367210548349726</v>
      </c>
      <c r="S201" s="537">
        <v>0.24037349126885399</v>
      </c>
      <c r="T201" s="537">
        <v>11.767865303695935</v>
      </c>
      <c r="U201" s="537" t="s">
        <v>62</v>
      </c>
    </row>
    <row r="202" spans="1:21" x14ac:dyDescent="0.2">
      <c r="A202" s="537" t="str">
        <f t="shared" si="6"/>
        <v>Moray.2012.Vehicle Numbers.SFR</v>
      </c>
      <c r="B202" s="537" t="s">
        <v>196</v>
      </c>
      <c r="C202" s="537" t="str">
        <f t="shared" si="7"/>
        <v>2012.Vehicle Numbers.SFR</v>
      </c>
      <c r="D202" s="537" t="s">
        <v>207</v>
      </c>
      <c r="E202" s="537" t="s">
        <v>23</v>
      </c>
      <c r="F202" s="537" t="s">
        <v>19</v>
      </c>
      <c r="G202" s="537" t="s">
        <v>19</v>
      </c>
      <c r="H202" s="537">
        <v>2.7052939479945222</v>
      </c>
      <c r="I202" s="537">
        <v>1.4785783584907024</v>
      </c>
      <c r="J202" s="537">
        <v>1.722533358940358</v>
      </c>
      <c r="K202" s="537">
        <v>2.4404727567636053</v>
      </c>
      <c r="L202" s="537">
        <v>1.6092662930043891</v>
      </c>
      <c r="M202" s="537">
        <v>1.9352559654102361</v>
      </c>
      <c r="N202" s="537">
        <v>1.4129827558253101</v>
      </c>
      <c r="O202" s="537">
        <v>2.6808429365690247</v>
      </c>
      <c r="P202" s="537">
        <v>1.9492087812005454</v>
      </c>
      <c r="Q202" s="537">
        <v>1.834370834635106</v>
      </c>
      <c r="R202" s="537">
        <v>1.6519975542927712</v>
      </c>
      <c r="S202" s="537">
        <v>3.3644382669874386</v>
      </c>
      <c r="T202" s="537">
        <v>24.785241810114009</v>
      </c>
      <c r="U202" s="537" t="s">
        <v>62</v>
      </c>
    </row>
    <row r="203" spans="1:21" x14ac:dyDescent="0.2">
      <c r="A203" s="537" t="str">
        <f t="shared" si="6"/>
        <v>Moray.2012.Vehicle Numbers.Day Visitor</v>
      </c>
      <c r="B203" s="537" t="s">
        <v>196</v>
      </c>
      <c r="C203" s="537" t="str">
        <f t="shared" si="7"/>
        <v>2012.Vehicle Numbers.Day Visitor</v>
      </c>
      <c r="D203" s="537" t="s">
        <v>207</v>
      </c>
      <c r="E203" s="537" t="s">
        <v>23</v>
      </c>
      <c r="F203" s="537" t="s">
        <v>73</v>
      </c>
      <c r="G203" s="537" t="s">
        <v>73</v>
      </c>
      <c r="H203" s="537">
        <v>4.7207774927045456</v>
      </c>
      <c r="I203" s="537">
        <v>7.0447207901312972</v>
      </c>
      <c r="J203" s="537">
        <v>7.2664044551523181</v>
      </c>
      <c r="K203" s="537">
        <v>3.1025265932367652</v>
      </c>
      <c r="L203" s="537">
        <v>6.792644576805654</v>
      </c>
      <c r="M203" s="537">
        <v>5.7424412234857103</v>
      </c>
      <c r="N203" s="537">
        <v>5.9178420347900662</v>
      </c>
      <c r="O203" s="537">
        <v>3.7550552414756475</v>
      </c>
      <c r="P203" s="537">
        <v>1.8724078670372568</v>
      </c>
      <c r="Q203" s="537">
        <v>2.720076100861331</v>
      </c>
      <c r="R203" s="537">
        <v>2.6224920208635982</v>
      </c>
      <c r="S203" s="537">
        <v>2.1627435600332467</v>
      </c>
      <c r="T203" s="537">
        <v>53.72013195657744</v>
      </c>
      <c r="U203" s="537" t="s">
        <v>62</v>
      </c>
    </row>
    <row r="204" spans="1:21" x14ac:dyDescent="0.2">
      <c r="A204" s="537" t="str">
        <f t="shared" si="6"/>
        <v>Moray.2012.Vehicle Numbers.Total</v>
      </c>
      <c r="B204" s="537" t="s">
        <v>196</v>
      </c>
      <c r="C204" s="537" t="str">
        <f t="shared" si="7"/>
        <v>2012.Vehicle Numbers.Total</v>
      </c>
      <c r="D204" s="537" t="s">
        <v>207</v>
      </c>
      <c r="E204" s="537" t="s">
        <v>23</v>
      </c>
      <c r="F204" s="537" t="s">
        <v>55</v>
      </c>
      <c r="G204" s="537" t="s">
        <v>55</v>
      </c>
      <c r="H204" s="537">
        <v>9.96682410377033</v>
      </c>
      <c r="I204" s="537">
        <v>11.425893388098395</v>
      </c>
      <c r="J204" s="537">
        <v>12.61622539221289</v>
      </c>
      <c r="K204" s="537">
        <v>9.3325210702857646</v>
      </c>
      <c r="L204" s="537">
        <v>14.167845423153896</v>
      </c>
      <c r="M204" s="537">
        <v>13.743323788105055</v>
      </c>
      <c r="N204" s="537">
        <v>14.962898645271748</v>
      </c>
      <c r="O204" s="537">
        <v>14.097273299886121</v>
      </c>
      <c r="P204" s="537">
        <v>10.42855234127336</v>
      </c>
      <c r="Q204" s="537">
        <v>9.3394037852025207</v>
      </c>
      <c r="R204" s="537">
        <v>7.1008408042523943</v>
      </c>
      <c r="S204" s="537">
        <v>7.8836416005123251</v>
      </c>
      <c r="T204" s="537">
        <v>135.06524364202483</v>
      </c>
      <c r="U204" s="537" t="s">
        <v>62</v>
      </c>
    </row>
    <row r="205" spans="1:21" x14ac:dyDescent="0.2">
      <c r="A205" s="537" t="str">
        <f t="shared" si="6"/>
        <v>Moray.2012.Accommodation.Serviced Accommodation</v>
      </c>
      <c r="B205" s="537" t="s">
        <v>196</v>
      </c>
      <c r="C205" s="537" t="str">
        <f t="shared" si="7"/>
        <v>2012.Accommodation.Serviced Accommodation</v>
      </c>
      <c r="D205" s="537" t="s">
        <v>207</v>
      </c>
      <c r="E205" s="537" t="s">
        <v>24</v>
      </c>
      <c r="F205" s="537" t="s">
        <v>44</v>
      </c>
      <c r="G205" s="537" t="s">
        <v>44</v>
      </c>
      <c r="H205" s="537">
        <v>2573.4193548387098</v>
      </c>
      <c r="I205" s="537">
        <v>2591</v>
      </c>
      <c r="J205" s="537">
        <v>2604</v>
      </c>
      <c r="K205" s="537">
        <v>2626.4193548387098</v>
      </c>
      <c r="L205" s="537">
        <v>2640</v>
      </c>
      <c r="M205" s="537">
        <v>2643</v>
      </c>
      <c r="N205" s="537">
        <v>2643</v>
      </c>
      <c r="O205" s="537">
        <v>2643</v>
      </c>
      <c r="P205" s="537">
        <v>2640</v>
      </c>
      <c r="Q205" s="537">
        <v>2629</v>
      </c>
      <c r="R205" s="537">
        <v>2596</v>
      </c>
      <c r="S205" s="537">
        <v>2562.6774193548385</v>
      </c>
      <c r="T205" s="537">
        <v>2643</v>
      </c>
      <c r="U205" s="537" t="s">
        <v>59</v>
      </c>
    </row>
    <row r="206" spans="1:21" x14ac:dyDescent="0.2">
      <c r="A206" s="537" t="str">
        <f t="shared" si="6"/>
        <v>Moray.2012.Accommodation.Non-Serviced Accommodation</v>
      </c>
      <c r="B206" s="537" t="s">
        <v>196</v>
      </c>
      <c r="C206" s="537" t="str">
        <f t="shared" si="7"/>
        <v>2012.Accommodation.Non-Serviced Accommodation</v>
      </c>
      <c r="D206" s="537" t="s">
        <v>207</v>
      </c>
      <c r="E206" s="537" t="s">
        <v>24</v>
      </c>
      <c r="F206" s="537" t="s">
        <v>49</v>
      </c>
      <c r="G206" s="537" t="s">
        <v>49</v>
      </c>
      <c r="H206" s="537">
        <v>1087</v>
      </c>
      <c r="I206" s="537">
        <v>1075</v>
      </c>
      <c r="J206" s="537">
        <v>1694</v>
      </c>
      <c r="K206" s="537">
        <v>4189</v>
      </c>
      <c r="L206" s="537">
        <v>4206</v>
      </c>
      <c r="M206" s="537">
        <v>4221</v>
      </c>
      <c r="N206" s="537">
        <v>4221</v>
      </c>
      <c r="O206" s="537">
        <v>4221</v>
      </c>
      <c r="P206" s="537">
        <v>4221</v>
      </c>
      <c r="Q206" s="537">
        <v>4039</v>
      </c>
      <c r="R206" s="537">
        <v>1242</v>
      </c>
      <c r="S206" s="537">
        <v>1087</v>
      </c>
      <c r="T206" s="537">
        <v>4221</v>
      </c>
      <c r="U206" s="537" t="s">
        <v>59</v>
      </c>
    </row>
    <row r="207" spans="1:21" x14ac:dyDescent="0.2">
      <c r="A207" s="537" t="str">
        <f t="shared" si="6"/>
        <v>Moray.2012.Accommodation.Total</v>
      </c>
      <c r="B207" s="537" t="s">
        <v>196</v>
      </c>
      <c r="C207" s="537" t="str">
        <f t="shared" si="7"/>
        <v>2012.Accommodation.Total</v>
      </c>
      <c r="D207" s="537" t="s">
        <v>207</v>
      </c>
      <c r="E207" s="537" t="s">
        <v>24</v>
      </c>
      <c r="F207" s="537" t="s">
        <v>55</v>
      </c>
      <c r="G207" s="537" t="s">
        <v>55</v>
      </c>
      <c r="H207" s="537">
        <v>3660.4193548387098</v>
      </c>
      <c r="I207" s="537">
        <v>3666</v>
      </c>
      <c r="J207" s="537">
        <v>4298</v>
      </c>
      <c r="K207" s="537">
        <v>6815.4193548387102</v>
      </c>
      <c r="L207" s="537">
        <v>6846</v>
      </c>
      <c r="M207" s="537">
        <v>6864</v>
      </c>
      <c r="N207" s="537">
        <v>6864</v>
      </c>
      <c r="O207" s="537">
        <v>6864</v>
      </c>
      <c r="P207" s="537">
        <v>6861</v>
      </c>
      <c r="Q207" s="537">
        <v>6668</v>
      </c>
      <c r="R207" s="537">
        <v>3838</v>
      </c>
      <c r="S207" s="537">
        <v>3649.6774193548385</v>
      </c>
      <c r="T207" s="537">
        <v>6864</v>
      </c>
      <c r="U207" s="537" t="s">
        <v>59</v>
      </c>
    </row>
    <row r="208" spans="1:21" x14ac:dyDescent="0.2">
      <c r="A208" s="537" t="str">
        <f t="shared" si="6"/>
        <v>Moray.2012.Economic Impact.Total</v>
      </c>
      <c r="B208" s="537" t="s">
        <v>196</v>
      </c>
      <c r="C208" s="537" t="str">
        <f t="shared" si="7"/>
        <v>2012.Economic Impact.Total</v>
      </c>
      <c r="D208" s="537" t="s">
        <v>207</v>
      </c>
      <c r="E208" s="537" t="s">
        <v>18</v>
      </c>
      <c r="F208" s="537" t="s">
        <v>55</v>
      </c>
      <c r="G208" s="537" t="s">
        <v>55</v>
      </c>
      <c r="H208" s="537">
        <v>5997.7165399426858</v>
      </c>
      <c r="I208" s="537">
        <v>5749.7697782188388</v>
      </c>
      <c r="J208" s="537">
        <v>6997.1347333870517</v>
      </c>
      <c r="K208" s="537">
        <v>6773.1965455198133</v>
      </c>
      <c r="L208" s="537">
        <v>7439.7760295634134</v>
      </c>
      <c r="M208" s="537">
        <v>9082.619419569357</v>
      </c>
      <c r="N208" s="537">
        <v>11118.34322764384</v>
      </c>
      <c r="O208" s="537">
        <v>11716.733719197204</v>
      </c>
      <c r="P208" s="537">
        <v>7526.4643032953445</v>
      </c>
      <c r="Q208" s="537">
        <v>6459.1676110174321</v>
      </c>
      <c r="R208" s="537">
        <v>3941.3878621185645</v>
      </c>
      <c r="S208" s="537">
        <v>4309.4358784499436</v>
      </c>
      <c r="T208" s="537">
        <v>87111.745647923482</v>
      </c>
      <c r="U208" s="537" t="s">
        <v>58</v>
      </c>
    </row>
    <row r="209" spans="1:21" x14ac:dyDescent="0.2">
      <c r="A209" s="537" t="str">
        <f t="shared" si="6"/>
        <v>Moray.2013.Economic Impact.Indirect Expenditure</v>
      </c>
      <c r="B209" s="537" t="s">
        <v>196</v>
      </c>
      <c r="C209" s="537" t="str">
        <f t="shared" si="7"/>
        <v>2013.Economic Impact.Indirect Expenditure</v>
      </c>
      <c r="D209" s="537" t="s">
        <v>208</v>
      </c>
      <c r="E209" s="537" t="s">
        <v>18</v>
      </c>
      <c r="F209" s="537" t="s">
        <v>46</v>
      </c>
      <c r="G209" s="537" t="s">
        <v>46</v>
      </c>
      <c r="H209" s="537">
        <v>1425.5626454622031</v>
      </c>
      <c r="I209" s="537">
        <v>1452.1854831999315</v>
      </c>
      <c r="J209" s="537">
        <v>2004.594628750332</v>
      </c>
      <c r="K209" s="537">
        <v>1790.781951823483</v>
      </c>
      <c r="L209" s="537">
        <v>2077.6660110835719</v>
      </c>
      <c r="M209" s="537">
        <v>2231.7918537189898</v>
      </c>
      <c r="N209" s="537">
        <v>3076.062656217101</v>
      </c>
      <c r="O209" s="537">
        <v>3104.1287221402649</v>
      </c>
      <c r="P209" s="537">
        <v>1890.2151956209077</v>
      </c>
      <c r="Q209" s="537">
        <v>1644.8275183054518</v>
      </c>
      <c r="R209" s="537">
        <v>889.38738429665409</v>
      </c>
      <c r="S209" s="537">
        <v>892.97752686427361</v>
      </c>
      <c r="T209" s="537">
        <v>22480.181577483163</v>
      </c>
      <c r="U209" s="537" t="s">
        <v>58</v>
      </c>
    </row>
    <row r="210" spans="1:21" x14ac:dyDescent="0.2">
      <c r="A210" s="537" t="str">
        <f t="shared" si="6"/>
        <v>Moray.2013.Economic Impact.Direct Revenue</v>
      </c>
      <c r="B210" s="537" t="s">
        <v>196</v>
      </c>
      <c r="C210" s="537" t="str">
        <f t="shared" si="7"/>
        <v>2013.Economic Impact.Direct Revenue</v>
      </c>
      <c r="D210" s="537" t="s">
        <v>208</v>
      </c>
      <c r="E210" s="537" t="s">
        <v>18</v>
      </c>
      <c r="F210" s="537" t="s">
        <v>47</v>
      </c>
      <c r="G210" s="537" t="s">
        <v>47</v>
      </c>
      <c r="H210" s="537">
        <v>4006.8896506509168</v>
      </c>
      <c r="I210" s="537">
        <v>3990.9753417895454</v>
      </c>
      <c r="J210" s="537">
        <v>5504.0874941424518</v>
      </c>
      <c r="K210" s="537">
        <v>4687.409893104279</v>
      </c>
      <c r="L210" s="537">
        <v>5360.3742572056344</v>
      </c>
      <c r="M210" s="537">
        <v>5874.943766795157</v>
      </c>
      <c r="N210" s="537">
        <v>8160.1318007022892</v>
      </c>
      <c r="O210" s="537">
        <v>8260.7488227330468</v>
      </c>
      <c r="P210" s="537">
        <v>5049.7187725724689</v>
      </c>
      <c r="Q210" s="537">
        <v>4357.8422654388596</v>
      </c>
      <c r="R210" s="537">
        <v>2442.3848168087043</v>
      </c>
      <c r="S210" s="537">
        <v>2427.584754192977</v>
      </c>
      <c r="T210" s="537">
        <v>60123.09163613632</v>
      </c>
      <c r="U210" s="537" t="s">
        <v>58</v>
      </c>
    </row>
    <row r="211" spans="1:21" x14ac:dyDescent="0.2">
      <c r="A211" s="537" t="str">
        <f t="shared" si="6"/>
        <v>Moray.2013.Economic Impact.VAT</v>
      </c>
      <c r="B211" s="537" t="s">
        <v>196</v>
      </c>
      <c r="C211" s="537" t="str">
        <f t="shared" si="7"/>
        <v>2013.Economic Impact.VAT</v>
      </c>
      <c r="D211" s="537" t="s">
        <v>208</v>
      </c>
      <c r="E211" s="537" t="s">
        <v>18</v>
      </c>
      <c r="F211" s="537" t="s">
        <v>48</v>
      </c>
      <c r="G211" s="537" t="s">
        <v>48</v>
      </c>
      <c r="H211" s="537">
        <v>801.37793013018336</v>
      </c>
      <c r="I211" s="537">
        <v>798.19506835790912</v>
      </c>
      <c r="J211" s="537">
        <v>1100.8174988284904</v>
      </c>
      <c r="K211" s="537">
        <v>937.48197862085601</v>
      </c>
      <c r="L211" s="537">
        <v>1072.0748514411271</v>
      </c>
      <c r="M211" s="537">
        <v>1174.9887533590313</v>
      </c>
      <c r="N211" s="537">
        <v>1632.0263601404577</v>
      </c>
      <c r="O211" s="537">
        <v>1652.1497645466097</v>
      </c>
      <c r="P211" s="537">
        <v>1009.943754514494</v>
      </c>
      <c r="Q211" s="537">
        <v>871.56845308777201</v>
      </c>
      <c r="R211" s="537">
        <v>488.47696336174101</v>
      </c>
      <c r="S211" s="537">
        <v>485.51695083859545</v>
      </c>
      <c r="T211" s="537">
        <v>12024.618327227268</v>
      </c>
      <c r="U211" s="537" t="s">
        <v>58</v>
      </c>
    </row>
    <row r="212" spans="1:21" x14ac:dyDescent="0.2">
      <c r="A212" s="537" t="str">
        <f t="shared" si="6"/>
        <v>Moray.2013.Economic Impact.Serviced Accommodation</v>
      </c>
      <c r="B212" s="537" t="s">
        <v>196</v>
      </c>
      <c r="C212" s="537" t="str">
        <f t="shared" si="7"/>
        <v>2013.Economic Impact.Serviced Accommodation</v>
      </c>
      <c r="D212" s="537" t="s">
        <v>208</v>
      </c>
      <c r="E212" s="537" t="s">
        <v>18</v>
      </c>
      <c r="F212" s="537" t="s">
        <v>44</v>
      </c>
      <c r="G212" s="537" t="s">
        <v>44</v>
      </c>
      <c r="H212" s="537">
        <v>3448.819852821036</v>
      </c>
      <c r="I212" s="537">
        <v>3233.1769326742187</v>
      </c>
      <c r="J212" s="537">
        <v>4706.5753729039261</v>
      </c>
      <c r="K212" s="537">
        <v>3104.4168837701627</v>
      </c>
      <c r="L212" s="537">
        <v>2995.3502049392505</v>
      </c>
      <c r="M212" s="537">
        <v>3734.8470342147843</v>
      </c>
      <c r="N212" s="537">
        <v>6232.2400424892894</v>
      </c>
      <c r="O212" s="537">
        <v>6199.1884772924059</v>
      </c>
      <c r="P212" s="537">
        <v>4286.9175128766856</v>
      </c>
      <c r="Q212" s="537">
        <v>3451.5296953815396</v>
      </c>
      <c r="R212" s="537">
        <v>2114.8167968538178</v>
      </c>
      <c r="S212" s="537">
        <v>1570.1498891071878</v>
      </c>
      <c r="T212" s="537">
        <v>45078.028695324305</v>
      </c>
      <c r="U212" s="537" t="s">
        <v>58</v>
      </c>
    </row>
    <row r="213" spans="1:21" x14ac:dyDescent="0.2">
      <c r="A213" s="537" t="str">
        <f t="shared" si="6"/>
        <v>Moray.2013.Economic Impact.Non-Serviced Accommodation</v>
      </c>
      <c r="B213" s="537" t="s">
        <v>196</v>
      </c>
      <c r="C213" s="537" t="str">
        <f t="shared" si="7"/>
        <v>2013.Economic Impact.Non-Serviced Accommodation</v>
      </c>
      <c r="D213" s="537" t="s">
        <v>208</v>
      </c>
      <c r="E213" s="537" t="s">
        <v>18</v>
      </c>
      <c r="F213" s="537" t="s">
        <v>49</v>
      </c>
      <c r="G213" s="537" t="s">
        <v>49</v>
      </c>
      <c r="H213" s="537">
        <v>161.21793853832932</v>
      </c>
      <c r="I213" s="537">
        <v>260.90411746638426</v>
      </c>
      <c r="J213" s="537">
        <v>682.36664190825957</v>
      </c>
      <c r="K213" s="537">
        <v>2191.3600299402065</v>
      </c>
      <c r="L213" s="537">
        <v>2667.4553145201107</v>
      </c>
      <c r="M213" s="537">
        <v>2863.7850296914785</v>
      </c>
      <c r="N213" s="537">
        <v>3753.9290373447398</v>
      </c>
      <c r="O213" s="537">
        <v>3745.3970225194421</v>
      </c>
      <c r="P213" s="537">
        <v>2329.059721408129</v>
      </c>
      <c r="Q213" s="537">
        <v>1904.3384656213734</v>
      </c>
      <c r="R213" s="537">
        <v>399.99408367211151</v>
      </c>
      <c r="S213" s="537">
        <v>277.69314050137183</v>
      </c>
      <c r="T213" s="537">
        <v>21237.500543131937</v>
      </c>
      <c r="U213" s="537" t="s">
        <v>58</v>
      </c>
    </row>
    <row r="214" spans="1:21" x14ac:dyDescent="0.2">
      <c r="A214" s="537" t="str">
        <f t="shared" si="6"/>
        <v>Moray.2013.Economic Impact.SFR</v>
      </c>
      <c r="B214" s="537" t="s">
        <v>196</v>
      </c>
      <c r="C214" s="537" t="str">
        <f t="shared" si="7"/>
        <v>2013.Economic Impact.SFR</v>
      </c>
      <c r="D214" s="537" t="s">
        <v>208</v>
      </c>
      <c r="E214" s="537" t="s">
        <v>18</v>
      </c>
      <c r="F214" s="537" t="s">
        <v>19</v>
      </c>
      <c r="G214" s="537" t="s">
        <v>19</v>
      </c>
      <c r="H214" s="537">
        <v>1298.1867813091035</v>
      </c>
      <c r="I214" s="537">
        <v>736.59187374974999</v>
      </c>
      <c r="J214" s="537">
        <v>1033.8168120735336</v>
      </c>
      <c r="K214" s="537">
        <v>1525.3482389993769</v>
      </c>
      <c r="L214" s="537">
        <v>1182.3000371125499</v>
      </c>
      <c r="M214" s="537">
        <v>1617.2476002308345</v>
      </c>
      <c r="N214" s="537">
        <v>1130.7050800628363</v>
      </c>
      <c r="O214" s="537">
        <v>1985.9284122309593</v>
      </c>
      <c r="P214" s="537">
        <v>806.83820661769664</v>
      </c>
      <c r="Q214" s="537">
        <v>738.7106516170245</v>
      </c>
      <c r="R214" s="537">
        <v>631.99067975804246</v>
      </c>
      <c r="S214" s="537">
        <v>1467.2048800600514</v>
      </c>
      <c r="T214" s="537">
        <v>14154.86925382176</v>
      </c>
      <c r="U214" s="537" t="s">
        <v>58</v>
      </c>
    </row>
    <row r="215" spans="1:21" x14ac:dyDescent="0.2">
      <c r="A215" s="537" t="str">
        <f t="shared" si="6"/>
        <v>Moray.2013.Economic Impact.Day Visitor</v>
      </c>
      <c r="B215" s="537" t="s">
        <v>196</v>
      </c>
      <c r="C215" s="537" t="str">
        <f t="shared" si="7"/>
        <v>2013.Economic Impact.Day Visitor</v>
      </c>
      <c r="D215" s="537" t="s">
        <v>208</v>
      </c>
      <c r="E215" s="537" t="s">
        <v>18</v>
      </c>
      <c r="F215" s="537" t="s">
        <v>73</v>
      </c>
      <c r="G215" s="537" t="s">
        <v>73</v>
      </c>
      <c r="H215" s="537">
        <v>1325.6056535748337</v>
      </c>
      <c r="I215" s="537">
        <v>2010.6829694570326</v>
      </c>
      <c r="J215" s="537">
        <v>2186.7407948355558</v>
      </c>
      <c r="K215" s="537">
        <v>594.54867083887177</v>
      </c>
      <c r="L215" s="537">
        <v>1665.0095631584218</v>
      </c>
      <c r="M215" s="537">
        <v>1065.8447097360804</v>
      </c>
      <c r="N215" s="537">
        <v>1751.3466571629824</v>
      </c>
      <c r="O215" s="537">
        <v>1086.5133973771149</v>
      </c>
      <c r="P215" s="537">
        <v>527.06228180535891</v>
      </c>
      <c r="Q215" s="537">
        <v>779.65942421214538</v>
      </c>
      <c r="R215" s="537">
        <v>673.44760418312762</v>
      </c>
      <c r="S215" s="537">
        <v>491.03132222723463</v>
      </c>
      <c r="T215" s="537">
        <v>14157.493048568762</v>
      </c>
      <c r="U215" s="537" t="s">
        <v>58</v>
      </c>
    </row>
    <row r="216" spans="1:21" x14ac:dyDescent="0.2">
      <c r="A216" s="537" t="str">
        <f t="shared" si="6"/>
        <v>Moray.2013.Economic Impact.Accommodation</v>
      </c>
      <c r="B216" s="537" t="s">
        <v>196</v>
      </c>
      <c r="C216" s="537" t="str">
        <f t="shared" si="7"/>
        <v>2013.Economic Impact.Accommodation</v>
      </c>
      <c r="D216" s="537" t="s">
        <v>208</v>
      </c>
      <c r="E216" s="537" t="s">
        <v>18</v>
      </c>
      <c r="F216" s="537" t="s">
        <v>24</v>
      </c>
      <c r="G216" s="537" t="s">
        <v>24</v>
      </c>
      <c r="H216" s="537">
        <v>695.1493264274153</v>
      </c>
      <c r="I216" s="537">
        <v>717.81049335925456</v>
      </c>
      <c r="J216" s="537">
        <v>1158.4818969073017</v>
      </c>
      <c r="K216" s="537">
        <v>1265.6160953178048</v>
      </c>
      <c r="L216" s="537">
        <v>1311.0384011239873</v>
      </c>
      <c r="M216" s="537">
        <v>1504.6698841949851</v>
      </c>
      <c r="N216" s="537">
        <v>2859.3233854758614</v>
      </c>
      <c r="O216" s="537">
        <v>2828.2930186291151</v>
      </c>
      <c r="P216" s="537">
        <v>1563.0077688119177</v>
      </c>
      <c r="Q216" s="537">
        <v>1236.5686744691282</v>
      </c>
      <c r="R216" s="537">
        <v>598.96193300705818</v>
      </c>
      <c r="S216" s="537">
        <v>433.32081982462012</v>
      </c>
      <c r="T216" s="537">
        <v>16172.241697548448</v>
      </c>
      <c r="U216" s="537" t="s">
        <v>58</v>
      </c>
    </row>
    <row r="217" spans="1:21" x14ac:dyDescent="0.2">
      <c r="A217" s="537" t="str">
        <f t="shared" si="6"/>
        <v>Moray.2013.Economic Impact.Food &amp; Drink</v>
      </c>
      <c r="B217" s="537" t="s">
        <v>196</v>
      </c>
      <c r="C217" s="537" t="str">
        <f t="shared" si="7"/>
        <v>2013.Economic Impact.Food &amp; Drink</v>
      </c>
      <c r="D217" s="537" t="s">
        <v>208</v>
      </c>
      <c r="E217" s="537" t="s">
        <v>18</v>
      </c>
      <c r="F217" s="537" t="s">
        <v>50</v>
      </c>
      <c r="G217" s="537" t="s">
        <v>50</v>
      </c>
      <c r="H217" s="537">
        <v>1152.2866033462583</v>
      </c>
      <c r="I217" s="537">
        <v>1173.0256879156796</v>
      </c>
      <c r="J217" s="537">
        <v>1537.6875281302785</v>
      </c>
      <c r="K217" s="537">
        <v>1060.6002105871289</v>
      </c>
      <c r="L217" s="537">
        <v>1250.6583911888288</v>
      </c>
      <c r="M217" s="537">
        <v>1291.7791093722631</v>
      </c>
      <c r="N217" s="537">
        <v>1519.1213721108361</v>
      </c>
      <c r="O217" s="537">
        <v>1593.0382619590243</v>
      </c>
      <c r="P217" s="537">
        <v>1051.3019861584091</v>
      </c>
      <c r="Q217" s="537">
        <v>966.05943466036638</v>
      </c>
      <c r="R217" s="537">
        <v>628.96779487187416</v>
      </c>
      <c r="S217" s="537">
        <v>658.02853998325293</v>
      </c>
      <c r="T217" s="537">
        <v>13882.554920284199</v>
      </c>
      <c r="U217" s="537" t="s">
        <v>58</v>
      </c>
    </row>
    <row r="218" spans="1:21" x14ac:dyDescent="0.2">
      <c r="A218" s="537" t="str">
        <f t="shared" si="6"/>
        <v>Moray.2013.Economic Impact.Recreation</v>
      </c>
      <c r="B218" s="537" t="s">
        <v>196</v>
      </c>
      <c r="C218" s="537" t="str">
        <f t="shared" si="7"/>
        <v>2013.Economic Impact.Recreation</v>
      </c>
      <c r="D218" s="537" t="s">
        <v>208</v>
      </c>
      <c r="E218" s="537" t="s">
        <v>18</v>
      </c>
      <c r="F218" s="537" t="s">
        <v>51</v>
      </c>
      <c r="G218" s="537" t="s">
        <v>51</v>
      </c>
      <c r="H218" s="537">
        <v>485.55199651090885</v>
      </c>
      <c r="I218" s="537">
        <v>574.89470535904445</v>
      </c>
      <c r="J218" s="537">
        <v>722.84155391930756</v>
      </c>
      <c r="K218" s="537">
        <v>414.04728485389381</v>
      </c>
      <c r="L218" s="537">
        <v>475.71271301892619</v>
      </c>
      <c r="M218" s="537">
        <v>518.14903032552536</v>
      </c>
      <c r="N218" s="537">
        <v>741.35862863607281</v>
      </c>
      <c r="O218" s="537">
        <v>726.59391429938853</v>
      </c>
      <c r="P218" s="537">
        <v>466.58535503674295</v>
      </c>
      <c r="Q218" s="537">
        <v>471.01667216140805</v>
      </c>
      <c r="R218" s="537">
        <v>283.17228669791331</v>
      </c>
      <c r="S218" s="537">
        <v>253.55191723149551</v>
      </c>
      <c r="T218" s="537">
        <v>6133.4760580506272</v>
      </c>
      <c r="U218" s="537" t="s">
        <v>58</v>
      </c>
    </row>
    <row r="219" spans="1:21" x14ac:dyDescent="0.2">
      <c r="A219" s="537" t="str">
        <f t="shared" si="6"/>
        <v>Moray.2013.Economic Impact.Shopping</v>
      </c>
      <c r="B219" s="537" t="s">
        <v>196</v>
      </c>
      <c r="C219" s="537" t="str">
        <f t="shared" si="7"/>
        <v>2013.Economic Impact.Shopping</v>
      </c>
      <c r="D219" s="537" t="s">
        <v>208</v>
      </c>
      <c r="E219" s="537" t="s">
        <v>18</v>
      </c>
      <c r="F219" s="537" t="s">
        <v>52</v>
      </c>
      <c r="G219" s="537" t="s">
        <v>52</v>
      </c>
      <c r="H219" s="537">
        <v>602.47999783790669</v>
      </c>
      <c r="I219" s="537">
        <v>574.46919322913209</v>
      </c>
      <c r="J219" s="537">
        <v>763.0913254634753</v>
      </c>
      <c r="K219" s="537">
        <v>591.76478724370315</v>
      </c>
      <c r="L219" s="537">
        <v>734.84228939640445</v>
      </c>
      <c r="M219" s="537">
        <v>749.58441616341349</v>
      </c>
      <c r="N219" s="537">
        <v>1046.4916120325827</v>
      </c>
      <c r="O219" s="537">
        <v>1021.6665651746447</v>
      </c>
      <c r="P219" s="537">
        <v>632.16375372689959</v>
      </c>
      <c r="Q219" s="537">
        <v>557.71357785165083</v>
      </c>
      <c r="R219" s="537">
        <v>348.00503259956616</v>
      </c>
      <c r="S219" s="537">
        <v>425.53681003153071</v>
      </c>
      <c r="T219" s="537">
        <v>8047.8093607509109</v>
      </c>
      <c r="U219" s="537" t="s">
        <v>58</v>
      </c>
    </row>
    <row r="220" spans="1:21" x14ac:dyDescent="0.2">
      <c r="A220" s="537" t="str">
        <f t="shared" si="6"/>
        <v>Moray.2013.Economic Impact.Transport</v>
      </c>
      <c r="B220" s="537" t="s">
        <v>196</v>
      </c>
      <c r="C220" s="537" t="str">
        <f t="shared" si="7"/>
        <v>2013.Economic Impact.Transport</v>
      </c>
      <c r="D220" s="537" t="s">
        <v>208</v>
      </c>
      <c r="E220" s="537" t="s">
        <v>18</v>
      </c>
      <c r="F220" s="537" t="s">
        <v>53</v>
      </c>
      <c r="G220" s="537" t="s">
        <v>53</v>
      </c>
      <c r="H220" s="537">
        <v>1071.4217265284274</v>
      </c>
      <c r="I220" s="537">
        <v>950.7752619264345</v>
      </c>
      <c r="J220" s="537">
        <v>1321.9851897220892</v>
      </c>
      <c r="K220" s="537">
        <v>1355.3815151017488</v>
      </c>
      <c r="L220" s="537">
        <v>1588.1224624774877</v>
      </c>
      <c r="M220" s="537">
        <v>1810.76132673897</v>
      </c>
      <c r="N220" s="537">
        <v>1993.8368024469355</v>
      </c>
      <c r="O220" s="537">
        <v>2091.1570626708753</v>
      </c>
      <c r="P220" s="537">
        <v>1336.6599088384994</v>
      </c>
      <c r="Q220" s="537">
        <v>1126.483906296306</v>
      </c>
      <c r="R220" s="537">
        <v>583.2777696322928</v>
      </c>
      <c r="S220" s="537">
        <v>657.14666712207793</v>
      </c>
      <c r="T220" s="537">
        <v>15887.009599502142</v>
      </c>
      <c r="U220" s="537" t="s">
        <v>58</v>
      </c>
    </row>
    <row r="221" spans="1:21" x14ac:dyDescent="0.2">
      <c r="A221" s="537" t="str">
        <f t="shared" si="6"/>
        <v>Moray.2013.Economic Impact.Direct Expenditure</v>
      </c>
      <c r="B221" s="537" t="s">
        <v>196</v>
      </c>
      <c r="C221" s="537" t="str">
        <f t="shared" si="7"/>
        <v>2013.Economic Impact.Direct Expenditure</v>
      </c>
      <c r="D221" s="537" t="s">
        <v>208</v>
      </c>
      <c r="E221" s="537" t="s">
        <v>18</v>
      </c>
      <c r="F221" s="537" t="s">
        <v>45</v>
      </c>
      <c r="G221" s="537" t="s">
        <v>45</v>
      </c>
      <c r="H221" s="537">
        <v>4808.2675807811002</v>
      </c>
      <c r="I221" s="537">
        <v>4789.1704101474543</v>
      </c>
      <c r="J221" s="537">
        <v>6604.9049929709427</v>
      </c>
      <c r="K221" s="537">
        <v>5624.8918717251345</v>
      </c>
      <c r="L221" s="537">
        <v>6432.4491086467615</v>
      </c>
      <c r="M221" s="537">
        <v>7049.9325201541878</v>
      </c>
      <c r="N221" s="537">
        <v>9792.1581608427477</v>
      </c>
      <c r="O221" s="537">
        <v>9912.8985872796566</v>
      </c>
      <c r="P221" s="537">
        <v>6059.6625270869627</v>
      </c>
      <c r="Q221" s="537">
        <v>5229.4107185266312</v>
      </c>
      <c r="R221" s="537">
        <v>2930.8617801704454</v>
      </c>
      <c r="S221" s="537">
        <v>2913.1017050315722</v>
      </c>
      <c r="T221" s="537">
        <v>72147.709963363581</v>
      </c>
      <c r="U221" s="537" t="s">
        <v>58</v>
      </c>
    </row>
    <row r="222" spans="1:21" x14ac:dyDescent="0.2">
      <c r="A222" s="537" t="str">
        <f t="shared" si="6"/>
        <v>Moray.2013.Population.Total</v>
      </c>
      <c r="B222" s="537" t="s">
        <v>196</v>
      </c>
      <c r="C222" s="537" t="str">
        <f t="shared" si="7"/>
        <v>2013.Population.Total</v>
      </c>
      <c r="D222" s="537" t="s">
        <v>208</v>
      </c>
      <c r="E222" s="537" t="s">
        <v>20</v>
      </c>
      <c r="F222" s="537" t="s">
        <v>55</v>
      </c>
      <c r="G222" s="537" t="s">
        <v>55</v>
      </c>
      <c r="H222" s="537">
        <v>92910</v>
      </c>
      <c r="I222" s="537">
        <v>92910</v>
      </c>
      <c r="J222" s="537">
        <v>92910</v>
      </c>
      <c r="K222" s="537">
        <v>92910</v>
      </c>
      <c r="L222" s="537">
        <v>92910</v>
      </c>
      <c r="M222" s="537">
        <v>92910</v>
      </c>
      <c r="N222" s="537">
        <v>92910</v>
      </c>
      <c r="O222" s="537">
        <v>92910</v>
      </c>
      <c r="P222" s="537">
        <v>92910</v>
      </c>
      <c r="Q222" s="537">
        <v>92910</v>
      </c>
      <c r="R222" s="537">
        <v>92910</v>
      </c>
      <c r="S222" s="537">
        <v>92910</v>
      </c>
      <c r="T222" s="537">
        <v>92910</v>
      </c>
      <c r="U222" s="537" t="s">
        <v>61</v>
      </c>
    </row>
    <row r="223" spans="1:21" x14ac:dyDescent="0.2">
      <c r="A223" s="537" t="str">
        <f t="shared" si="6"/>
        <v>Moray.2013.Employment.Serviced Accommodation</v>
      </c>
      <c r="B223" s="537" t="s">
        <v>196</v>
      </c>
      <c r="C223" s="537" t="str">
        <f t="shared" si="7"/>
        <v>2013.Employment.Serviced Accommodation</v>
      </c>
      <c r="D223" s="537" t="s">
        <v>208</v>
      </c>
      <c r="E223" s="537" t="s">
        <v>21</v>
      </c>
      <c r="F223" s="537" t="s">
        <v>44</v>
      </c>
      <c r="G223" s="537" t="s">
        <v>44</v>
      </c>
      <c r="H223" s="537">
        <v>1367.6948562088114</v>
      </c>
      <c r="I223" s="537">
        <v>1337.8107074156981</v>
      </c>
      <c r="J223" s="537">
        <v>1502.2352227431484</v>
      </c>
      <c r="K223" s="537">
        <v>1279.4682887662739</v>
      </c>
      <c r="L223" s="537">
        <v>1258.5758280633468</v>
      </c>
      <c r="M223" s="537">
        <v>1335.0558898308334</v>
      </c>
      <c r="N223" s="537">
        <v>1761.8029765967999</v>
      </c>
      <c r="O223" s="537">
        <v>1602.4041763413579</v>
      </c>
      <c r="P223" s="537">
        <v>1414.4125156519601</v>
      </c>
      <c r="Q223" s="537">
        <v>1322.3942161153807</v>
      </c>
      <c r="R223" s="537">
        <v>1191.5660085062718</v>
      </c>
      <c r="S223" s="537">
        <v>1123.0741672548318</v>
      </c>
      <c r="T223" s="537">
        <v>1374.7079044578929</v>
      </c>
      <c r="U223" s="537" t="s">
        <v>60</v>
      </c>
    </row>
    <row r="224" spans="1:21" x14ac:dyDescent="0.2">
      <c r="A224" s="537" t="str">
        <f t="shared" si="6"/>
        <v>Moray.2013.Employment.Non-Serviced Accommodation</v>
      </c>
      <c r="B224" s="537" t="s">
        <v>196</v>
      </c>
      <c r="C224" s="537" t="str">
        <f t="shared" si="7"/>
        <v>2013.Employment.Non-Serviced Accommodation</v>
      </c>
      <c r="D224" s="537" t="s">
        <v>208</v>
      </c>
      <c r="E224" s="537" t="s">
        <v>21</v>
      </c>
      <c r="F224" s="537" t="s">
        <v>49</v>
      </c>
      <c r="G224" s="537" t="s">
        <v>49</v>
      </c>
      <c r="H224" s="537">
        <v>352.01609061270989</v>
      </c>
      <c r="I224" s="537">
        <v>355.44602160980878</v>
      </c>
      <c r="J224" s="537">
        <v>398.43835267529676</v>
      </c>
      <c r="K224" s="537">
        <v>596.56961388928926</v>
      </c>
      <c r="L224" s="537">
        <v>668.78098885702889</v>
      </c>
      <c r="M224" s="537">
        <v>696.78819745378473</v>
      </c>
      <c r="N224" s="537">
        <v>743.90414640869267</v>
      </c>
      <c r="O224" s="537">
        <v>739.78819945730652</v>
      </c>
      <c r="P224" s="537">
        <v>615.23583569302991</v>
      </c>
      <c r="Q224" s="537">
        <v>577.72973326466911</v>
      </c>
      <c r="R224" s="537">
        <v>374.01645188185853</v>
      </c>
      <c r="S224" s="537">
        <v>363.50076547593119</v>
      </c>
      <c r="T224" s="537">
        <v>540.18453310661721</v>
      </c>
      <c r="U224" s="537" t="s">
        <v>60</v>
      </c>
    </row>
    <row r="225" spans="1:21" x14ac:dyDescent="0.2">
      <c r="A225" s="537" t="str">
        <f t="shared" si="6"/>
        <v>Moray.2013.Employment.SFR</v>
      </c>
      <c r="B225" s="537" t="s">
        <v>196</v>
      </c>
      <c r="C225" s="537" t="str">
        <f t="shared" si="7"/>
        <v>2013.Employment.SFR</v>
      </c>
      <c r="D225" s="537" t="s">
        <v>208</v>
      </c>
      <c r="E225" s="537" t="s">
        <v>21</v>
      </c>
      <c r="F225" s="537" t="s">
        <v>19</v>
      </c>
      <c r="G225" s="537" t="s">
        <v>19</v>
      </c>
      <c r="H225" s="537">
        <v>204.62559170729648</v>
      </c>
      <c r="I225" s="537">
        <v>116.10467013139339</v>
      </c>
      <c r="J225" s="537">
        <v>162.95449925485565</v>
      </c>
      <c r="K225" s="537">
        <v>241.26646094814902</v>
      </c>
      <c r="L225" s="537">
        <v>187.00604782559873</v>
      </c>
      <c r="M225" s="537">
        <v>255.80231124175435</v>
      </c>
      <c r="N225" s="537">
        <v>178.80303646906731</v>
      </c>
      <c r="O225" s="537">
        <v>314.04301314128338</v>
      </c>
      <c r="P225" s="537">
        <v>127.58863812169632</v>
      </c>
      <c r="Q225" s="537">
        <v>116.31422992126599</v>
      </c>
      <c r="R225" s="537">
        <v>99.510558122538441</v>
      </c>
      <c r="S225" s="537">
        <v>231.01982540436322</v>
      </c>
      <c r="T225" s="537">
        <v>186.25324019077183</v>
      </c>
      <c r="U225" s="537" t="s">
        <v>60</v>
      </c>
    </row>
    <row r="226" spans="1:21" x14ac:dyDescent="0.2">
      <c r="A226" s="537" t="str">
        <f t="shared" si="6"/>
        <v>Moray.2013.Employment.Day Visitor</v>
      </c>
      <c r="B226" s="537" t="s">
        <v>196</v>
      </c>
      <c r="C226" s="537" t="str">
        <f t="shared" si="7"/>
        <v>2013.Employment.Day Visitor</v>
      </c>
      <c r="D226" s="537" t="s">
        <v>208</v>
      </c>
      <c r="E226" s="537" t="s">
        <v>21</v>
      </c>
      <c r="F226" s="537" t="s">
        <v>73</v>
      </c>
      <c r="G226" s="537" t="s">
        <v>73</v>
      </c>
      <c r="H226" s="537">
        <v>210.88652049589081</v>
      </c>
      <c r="I226" s="537">
        <v>319.87336060739113</v>
      </c>
      <c r="J226" s="537">
        <v>347.8818577800036</v>
      </c>
      <c r="K226" s="537">
        <v>93.494948364464108</v>
      </c>
      <c r="L226" s="537">
        <v>261.82883045419101</v>
      </c>
      <c r="M226" s="537">
        <v>167.60797053117699</v>
      </c>
      <c r="N226" s="537">
        <v>273.72142219335228</v>
      </c>
      <c r="O226" s="537">
        <v>169.81332116393116</v>
      </c>
      <c r="P226" s="537">
        <v>82.375603236618673</v>
      </c>
      <c r="Q226" s="537">
        <v>124.03361640811464</v>
      </c>
      <c r="R226" s="537">
        <v>107.13670509738535</v>
      </c>
      <c r="S226" s="537">
        <v>78.116660652241507</v>
      </c>
      <c r="T226" s="537">
        <v>186.39756808206346</v>
      </c>
      <c r="U226" s="537" t="s">
        <v>60</v>
      </c>
    </row>
    <row r="227" spans="1:21" x14ac:dyDescent="0.2">
      <c r="A227" s="537" t="str">
        <f t="shared" si="6"/>
        <v>Moray.2013.Employment.Direct Employment</v>
      </c>
      <c r="B227" s="537" t="s">
        <v>196</v>
      </c>
      <c r="C227" s="537" t="str">
        <f t="shared" si="7"/>
        <v>2013.Employment.Direct Employment</v>
      </c>
      <c r="D227" s="537" t="s">
        <v>208</v>
      </c>
      <c r="E227" s="537" t="s">
        <v>21</v>
      </c>
      <c r="F227" s="537" t="s">
        <v>56</v>
      </c>
      <c r="G227" s="537" t="s">
        <v>56</v>
      </c>
      <c r="H227" s="537">
        <v>2135.2230590247086</v>
      </c>
      <c r="I227" s="537">
        <v>2129.2347597642915</v>
      </c>
      <c r="J227" s="537">
        <v>2411.5099324533044</v>
      </c>
      <c r="K227" s="537">
        <v>2210.7993119681764</v>
      </c>
      <c r="L227" s="537">
        <v>2376.1916952001657</v>
      </c>
      <c r="M227" s="537">
        <v>2455.2543690575494</v>
      </c>
      <c r="N227" s="537">
        <v>2958.231581667912</v>
      </c>
      <c r="O227" s="537">
        <v>2826.0487101038784</v>
      </c>
      <c r="P227" s="537">
        <v>2239.6125927033049</v>
      </c>
      <c r="Q227" s="537">
        <v>2140.4717957094304</v>
      </c>
      <c r="R227" s="537">
        <v>1772.2297236080542</v>
      </c>
      <c r="S227" s="537">
        <v>1795.7114187873678</v>
      </c>
      <c r="T227" s="537">
        <v>2287.5432458373452</v>
      </c>
      <c r="U227" s="537" t="s">
        <v>60</v>
      </c>
    </row>
    <row r="228" spans="1:21" x14ac:dyDescent="0.2">
      <c r="A228" s="537" t="str">
        <f t="shared" si="6"/>
        <v>Moray.2013.Employment.Indirect Employment</v>
      </c>
      <c r="B228" s="537" t="s">
        <v>196</v>
      </c>
      <c r="C228" s="537" t="str">
        <f t="shared" si="7"/>
        <v>2013.Employment.Indirect Employment</v>
      </c>
      <c r="D228" s="537" t="s">
        <v>208</v>
      </c>
      <c r="E228" s="537" t="s">
        <v>21</v>
      </c>
      <c r="F228" s="537" t="s">
        <v>54</v>
      </c>
      <c r="G228" s="537" t="s">
        <v>54</v>
      </c>
      <c r="H228" s="537">
        <v>298.96348583963135</v>
      </c>
      <c r="I228" s="537">
        <v>304.54672442851393</v>
      </c>
      <c r="J228" s="537">
        <v>420.39583445474813</v>
      </c>
      <c r="K228" s="537">
        <v>375.55586659067114</v>
      </c>
      <c r="L228" s="537">
        <v>435.72008221545093</v>
      </c>
      <c r="M228" s="537">
        <v>468.04275798065055</v>
      </c>
      <c r="N228" s="537">
        <v>645.0999661720324</v>
      </c>
      <c r="O228" s="537">
        <v>650.98587299549115</v>
      </c>
      <c r="P228" s="537">
        <v>396.40862200527562</v>
      </c>
      <c r="Q228" s="537">
        <v>344.94686714950541</v>
      </c>
      <c r="R228" s="537">
        <v>186.51888327566965</v>
      </c>
      <c r="S228" s="537">
        <v>187.27179409308854</v>
      </c>
      <c r="T228" s="537">
        <v>392.87139643339407</v>
      </c>
      <c r="U228" s="537" t="s">
        <v>60</v>
      </c>
    </row>
    <row r="229" spans="1:21" x14ac:dyDescent="0.2">
      <c r="A229" s="537" t="str">
        <f t="shared" si="6"/>
        <v>Moray.2013.Employment.Total</v>
      </c>
      <c r="B229" s="537" t="s">
        <v>196</v>
      </c>
      <c r="C229" s="537" t="str">
        <f t="shared" si="7"/>
        <v>2013.Employment.Total</v>
      </c>
      <c r="D229" s="537" t="s">
        <v>208</v>
      </c>
      <c r="E229" s="537" t="s">
        <v>21</v>
      </c>
      <c r="F229" s="537" t="s">
        <v>55</v>
      </c>
      <c r="G229" s="537" t="s">
        <v>55</v>
      </c>
      <c r="H229" s="537">
        <v>2434.1865448643398</v>
      </c>
      <c r="I229" s="537">
        <v>2433.7814841928057</v>
      </c>
      <c r="J229" s="537">
        <v>2831.9057669080526</v>
      </c>
      <c r="K229" s="537">
        <v>2586.3551785588475</v>
      </c>
      <c r="L229" s="537">
        <v>2811.9117774156166</v>
      </c>
      <c r="M229" s="537">
        <v>2923.2971270382</v>
      </c>
      <c r="N229" s="537">
        <v>3603.3315478399445</v>
      </c>
      <c r="O229" s="537">
        <v>3477.0345830993697</v>
      </c>
      <c r="P229" s="537">
        <v>2636.0212147085804</v>
      </c>
      <c r="Q229" s="537">
        <v>2485.4186628589359</v>
      </c>
      <c r="R229" s="537">
        <v>1958.7486068837238</v>
      </c>
      <c r="S229" s="537">
        <v>1982.9832128804564</v>
      </c>
      <c r="T229" s="537">
        <v>2680.4146422707395</v>
      </c>
      <c r="U229" s="537" t="s">
        <v>60</v>
      </c>
    </row>
    <row r="230" spans="1:21" x14ac:dyDescent="0.2">
      <c r="A230" s="537" t="str">
        <f t="shared" si="6"/>
        <v>Moray.2013.Employment.Accommodation</v>
      </c>
      <c r="B230" s="537" t="s">
        <v>196</v>
      </c>
      <c r="C230" s="537" t="str">
        <f t="shared" si="7"/>
        <v>2013.Employment.Accommodation</v>
      </c>
      <c r="D230" s="537" t="s">
        <v>208</v>
      </c>
      <c r="E230" s="537" t="s">
        <v>21</v>
      </c>
      <c r="F230" s="537" t="s">
        <v>24</v>
      </c>
      <c r="G230" s="537" t="s">
        <v>24</v>
      </c>
      <c r="H230" s="537">
        <v>1304.9492187946914</v>
      </c>
      <c r="I230" s="537">
        <v>1304.5414625525686</v>
      </c>
      <c r="J230" s="537">
        <v>1318.7771213995452</v>
      </c>
      <c r="K230" s="537">
        <v>1361.7786802519249</v>
      </c>
      <c r="L230" s="537">
        <v>1371.1870116156283</v>
      </c>
      <c r="M230" s="537">
        <v>1373.8</v>
      </c>
      <c r="N230" s="537">
        <v>1640.4799701399431</v>
      </c>
      <c r="O230" s="537">
        <v>1476.8008688829646</v>
      </c>
      <c r="P230" s="537">
        <v>1373.1870116156283</v>
      </c>
      <c r="Q230" s="537">
        <v>1362.2435668911999</v>
      </c>
      <c r="R230" s="537">
        <v>1309.7286458164356</v>
      </c>
      <c r="S230" s="537">
        <v>1296.7351124413376</v>
      </c>
      <c r="T230" s="537">
        <v>1374.5173892001558</v>
      </c>
      <c r="U230" s="537" t="s">
        <v>60</v>
      </c>
    </row>
    <row r="231" spans="1:21" x14ac:dyDescent="0.2">
      <c r="A231" s="537" t="str">
        <f t="shared" si="6"/>
        <v>Moray.2013.Employment.Food &amp; Drink</v>
      </c>
      <c r="B231" s="537" t="s">
        <v>196</v>
      </c>
      <c r="C231" s="537" t="str">
        <f t="shared" si="7"/>
        <v>2013.Employment.Food &amp; Drink</v>
      </c>
      <c r="D231" s="537" t="s">
        <v>208</v>
      </c>
      <c r="E231" s="537" t="s">
        <v>21</v>
      </c>
      <c r="F231" s="537" t="s">
        <v>50</v>
      </c>
      <c r="G231" s="537" t="s">
        <v>50</v>
      </c>
      <c r="H231" s="537">
        <v>305.21551080041377</v>
      </c>
      <c r="I231" s="537">
        <v>310.70884056056786</v>
      </c>
      <c r="J231" s="537">
        <v>407.29978374024159</v>
      </c>
      <c r="K231" s="537">
        <v>280.92979132909579</v>
      </c>
      <c r="L231" s="537">
        <v>331.27204516220201</v>
      </c>
      <c r="M231" s="537">
        <v>342.16402374495163</v>
      </c>
      <c r="N231" s="537">
        <v>402.38201521232662</v>
      </c>
      <c r="O231" s="537">
        <v>421.96098213451108</v>
      </c>
      <c r="P231" s="537">
        <v>278.46689511012818</v>
      </c>
      <c r="Q231" s="537">
        <v>255.88800820660006</v>
      </c>
      <c r="R231" s="537">
        <v>166.59980792221566</v>
      </c>
      <c r="S231" s="537">
        <v>174.2973634935918</v>
      </c>
      <c r="T231" s="537">
        <v>306.4320889514039</v>
      </c>
      <c r="U231" s="537" t="s">
        <v>60</v>
      </c>
    </row>
    <row r="232" spans="1:21" x14ac:dyDescent="0.2">
      <c r="A232" s="537" t="str">
        <f t="shared" si="6"/>
        <v>Moray.2013.Employment.Recreation</v>
      </c>
      <c r="B232" s="537" t="s">
        <v>196</v>
      </c>
      <c r="C232" s="537" t="str">
        <f t="shared" si="7"/>
        <v>2013.Employment.Recreation</v>
      </c>
      <c r="D232" s="537" t="s">
        <v>208</v>
      </c>
      <c r="E232" s="537" t="s">
        <v>21</v>
      </c>
      <c r="F232" s="537" t="s">
        <v>51</v>
      </c>
      <c r="G232" s="537" t="s">
        <v>51</v>
      </c>
      <c r="H232" s="537">
        <v>127.75314745673639</v>
      </c>
      <c r="I232" s="537">
        <v>151.26002692521305</v>
      </c>
      <c r="J232" s="537">
        <v>190.1861886868692</v>
      </c>
      <c r="K232" s="537">
        <v>108.93960732547914</v>
      </c>
      <c r="L232" s="537">
        <v>125.16434245984117</v>
      </c>
      <c r="M232" s="537">
        <v>136.32972359584278</v>
      </c>
      <c r="N232" s="537">
        <v>195.05819949880532</v>
      </c>
      <c r="O232" s="537">
        <v>191.17346883892708</v>
      </c>
      <c r="P232" s="537">
        <v>122.76285154111918</v>
      </c>
      <c r="Q232" s="537">
        <v>123.92877138929796</v>
      </c>
      <c r="R232" s="537">
        <v>74.505204711617296</v>
      </c>
      <c r="S232" s="537">
        <v>66.711816041900917</v>
      </c>
      <c r="T232" s="537">
        <v>134.48111237263748</v>
      </c>
      <c r="U232" s="537" t="s">
        <v>60</v>
      </c>
    </row>
    <row r="233" spans="1:21" x14ac:dyDescent="0.2">
      <c r="A233" s="537" t="str">
        <f t="shared" si="6"/>
        <v>Moray.2013.Employment.Shopping</v>
      </c>
      <c r="B233" s="537" t="s">
        <v>196</v>
      </c>
      <c r="C233" s="537" t="str">
        <f t="shared" si="7"/>
        <v>2013.Employment.Shopping</v>
      </c>
      <c r="D233" s="537" t="s">
        <v>208</v>
      </c>
      <c r="E233" s="537" t="s">
        <v>21</v>
      </c>
      <c r="F233" s="537" t="s">
        <v>52</v>
      </c>
      <c r="G233" s="537" t="s">
        <v>52</v>
      </c>
      <c r="H233" s="537">
        <v>153.64077877789225</v>
      </c>
      <c r="I233" s="537">
        <v>146.49763402664468</v>
      </c>
      <c r="J233" s="537">
        <v>194.5989011147314</v>
      </c>
      <c r="K233" s="537">
        <v>150.90825104855597</v>
      </c>
      <c r="L233" s="537">
        <v>187.39500402828034</v>
      </c>
      <c r="M233" s="537">
        <v>191.15445138828227</v>
      </c>
      <c r="N233" s="537">
        <v>266.86991573863952</v>
      </c>
      <c r="O233" s="537">
        <v>260.53918352157194</v>
      </c>
      <c r="P233" s="537">
        <v>161.21054937310583</v>
      </c>
      <c r="Q233" s="537">
        <v>142.22471906724769</v>
      </c>
      <c r="R233" s="537">
        <v>88.746123388495107</v>
      </c>
      <c r="S233" s="537">
        <v>108.51780495042158</v>
      </c>
      <c r="T233" s="537">
        <v>171.02527636865571</v>
      </c>
      <c r="U233" s="537" t="s">
        <v>60</v>
      </c>
    </row>
    <row r="234" spans="1:21" x14ac:dyDescent="0.2">
      <c r="A234" s="537" t="str">
        <f t="shared" si="6"/>
        <v>Moray.2013.Employment.Transport</v>
      </c>
      <c r="B234" s="537" t="s">
        <v>196</v>
      </c>
      <c r="C234" s="537" t="str">
        <f t="shared" si="7"/>
        <v>2013.Employment.Transport</v>
      </c>
      <c r="D234" s="537" t="s">
        <v>208</v>
      </c>
      <c r="E234" s="537" t="s">
        <v>21</v>
      </c>
      <c r="F234" s="537" t="s">
        <v>53</v>
      </c>
      <c r="G234" s="537" t="s">
        <v>53</v>
      </c>
      <c r="H234" s="537">
        <v>243.66440319497488</v>
      </c>
      <c r="I234" s="537">
        <v>216.22679569929724</v>
      </c>
      <c r="J234" s="537">
        <v>300.64793751191667</v>
      </c>
      <c r="K234" s="537">
        <v>308.24298201312041</v>
      </c>
      <c r="L234" s="537">
        <v>361.17329193421364</v>
      </c>
      <c r="M234" s="537">
        <v>411.80617032847283</v>
      </c>
      <c r="N234" s="537">
        <v>453.44148107819746</v>
      </c>
      <c r="O234" s="537">
        <v>475.57420672590422</v>
      </c>
      <c r="P234" s="537">
        <v>303.98528506332372</v>
      </c>
      <c r="Q234" s="537">
        <v>256.18673015508489</v>
      </c>
      <c r="R234" s="537">
        <v>132.64994176929056</v>
      </c>
      <c r="S234" s="537">
        <v>149.44932186011582</v>
      </c>
      <c r="T234" s="537">
        <v>301.08737894449274</v>
      </c>
      <c r="U234" s="537" t="s">
        <v>60</v>
      </c>
    </row>
    <row r="235" spans="1:21" x14ac:dyDescent="0.2">
      <c r="A235" s="537" t="str">
        <f t="shared" si="6"/>
        <v>Moray.2013.Visitor Days.Serviced Accommodation</v>
      </c>
      <c r="B235" s="537" t="s">
        <v>196</v>
      </c>
      <c r="C235" s="537" t="str">
        <f t="shared" si="7"/>
        <v>2013.Visitor Days.Serviced Accommodation</v>
      </c>
      <c r="D235" s="537" t="s">
        <v>208</v>
      </c>
      <c r="E235" s="537" t="s">
        <v>175</v>
      </c>
      <c r="F235" s="537" t="s">
        <v>44</v>
      </c>
      <c r="G235" s="537" t="s">
        <v>44</v>
      </c>
      <c r="H235" s="537">
        <v>26.493209889332931</v>
      </c>
      <c r="I235" s="537">
        <v>26.635927358402544</v>
      </c>
      <c r="J235" s="537">
        <v>40.612240945059582</v>
      </c>
      <c r="K235" s="537">
        <v>34.247705816039897</v>
      </c>
      <c r="L235" s="537">
        <v>37.127382266211796</v>
      </c>
      <c r="M235" s="537">
        <v>44.267124546335999</v>
      </c>
      <c r="N235" s="537">
        <v>56.687373028025732</v>
      </c>
      <c r="O235" s="537">
        <v>54.312259044309357</v>
      </c>
      <c r="P235" s="537">
        <v>45.763696549087356</v>
      </c>
      <c r="Q235" s="537">
        <v>37.205943855795454</v>
      </c>
      <c r="R235" s="537">
        <v>19.927825971620202</v>
      </c>
      <c r="S235" s="537">
        <v>14.188997747646642</v>
      </c>
      <c r="T235" s="537">
        <v>437.4696870178675</v>
      </c>
      <c r="U235" s="537" t="s">
        <v>62</v>
      </c>
    </row>
    <row r="236" spans="1:21" x14ac:dyDescent="0.2">
      <c r="A236" s="537" t="str">
        <f t="shared" si="6"/>
        <v>Moray.2013.Visitor Days.Non-Serviced Accommodation</v>
      </c>
      <c r="B236" s="537" t="s">
        <v>196</v>
      </c>
      <c r="C236" s="537" t="str">
        <f t="shared" si="7"/>
        <v>2013.Visitor Days.Non-Serviced Accommodation</v>
      </c>
      <c r="D236" s="537" t="s">
        <v>208</v>
      </c>
      <c r="E236" s="537" t="s">
        <v>175</v>
      </c>
      <c r="F236" s="537" t="s">
        <v>49</v>
      </c>
      <c r="G236" s="537" t="s">
        <v>49</v>
      </c>
      <c r="H236" s="537">
        <v>4.2165333333333335</v>
      </c>
      <c r="I236" s="537">
        <v>6.8237500000000004</v>
      </c>
      <c r="J236" s="537">
        <v>17.846783783783785</v>
      </c>
      <c r="K236" s="537">
        <v>52.937522182818725</v>
      </c>
      <c r="L236" s="537">
        <v>62.171367745324538</v>
      </c>
      <c r="M236" s="537">
        <v>66.193307989343126</v>
      </c>
      <c r="N236" s="537">
        <v>86.227985037245929</v>
      </c>
      <c r="O236" s="537">
        <v>85.965880140657873</v>
      </c>
      <c r="P236" s="537">
        <v>58.899624351254133</v>
      </c>
      <c r="Q236" s="537">
        <v>41.72628188479969</v>
      </c>
      <c r="R236" s="537">
        <v>8.9840154440154443</v>
      </c>
      <c r="S236" s="537">
        <v>6.2370909090909086</v>
      </c>
      <c r="T236" s="537">
        <v>498.23014280166751</v>
      </c>
      <c r="U236" s="537" t="s">
        <v>62</v>
      </c>
    </row>
    <row r="237" spans="1:21" x14ac:dyDescent="0.2">
      <c r="A237" s="537" t="str">
        <f t="shared" si="6"/>
        <v>Moray.2013.Visitor Days.SFR</v>
      </c>
      <c r="B237" s="537" t="s">
        <v>196</v>
      </c>
      <c r="C237" s="537" t="str">
        <f t="shared" si="7"/>
        <v>2013.Visitor Days.SFR</v>
      </c>
      <c r="D237" s="537" t="s">
        <v>208</v>
      </c>
      <c r="E237" s="537" t="s">
        <v>175</v>
      </c>
      <c r="F237" s="537" t="s">
        <v>19</v>
      </c>
      <c r="G237" s="537" t="s">
        <v>19</v>
      </c>
      <c r="H237" s="537">
        <v>37.804869347780915</v>
      </c>
      <c r="I237" s="537">
        <v>21.450503079122022</v>
      </c>
      <c r="J237" s="537">
        <v>30.106075699343776</v>
      </c>
      <c r="K237" s="537">
        <v>45.208218778105177</v>
      </c>
      <c r="L237" s="537">
        <v>35.040967939366318</v>
      </c>
      <c r="M237" s="537">
        <v>47.931928893537759</v>
      </c>
      <c r="N237" s="537">
        <v>53.495950900763098</v>
      </c>
      <c r="O237" s="537">
        <v>93.958301511508054</v>
      </c>
      <c r="P237" s="537">
        <v>38.17315217481945</v>
      </c>
      <c r="Q237" s="537">
        <v>31.483771325358095</v>
      </c>
      <c r="R237" s="537">
        <v>26.935377197695288</v>
      </c>
      <c r="S237" s="537">
        <v>62.532119755068038</v>
      </c>
      <c r="T237" s="537">
        <v>524.121236602468</v>
      </c>
      <c r="U237" s="537" t="s">
        <v>62</v>
      </c>
    </row>
    <row r="238" spans="1:21" x14ac:dyDescent="0.2">
      <c r="A238" s="537" t="str">
        <f t="shared" si="6"/>
        <v>Moray.2013.Visitor Days.Day Visitor</v>
      </c>
      <c r="B238" s="537" t="s">
        <v>196</v>
      </c>
      <c r="C238" s="537" t="str">
        <f t="shared" si="7"/>
        <v>2013.Visitor Days.Day Visitor</v>
      </c>
      <c r="D238" s="537" t="s">
        <v>208</v>
      </c>
      <c r="E238" s="537" t="s">
        <v>175</v>
      </c>
      <c r="F238" s="537" t="s">
        <v>73</v>
      </c>
      <c r="G238" s="537" t="s">
        <v>73</v>
      </c>
      <c r="H238" s="537">
        <v>23.611870012385737</v>
      </c>
      <c r="I238" s="537">
        <v>35.81456127839084</v>
      </c>
      <c r="J238" s="537">
        <v>38.950527450751707</v>
      </c>
      <c r="K238" s="537">
        <v>15.123752660715921</v>
      </c>
      <c r="L238" s="537">
        <v>42.353459095965199</v>
      </c>
      <c r="M238" s="537">
        <v>27.112282905346177</v>
      </c>
      <c r="N238" s="537">
        <v>37.259073303362548</v>
      </c>
      <c r="O238" s="537">
        <v>23.115059575662329</v>
      </c>
      <c r="P238" s="537">
        <v>11.213001214182736</v>
      </c>
      <c r="Q238" s="537">
        <v>13.887400773211503</v>
      </c>
      <c r="R238" s="537">
        <v>11.995541243538414</v>
      </c>
      <c r="S238" s="537">
        <v>8.7463173691004794</v>
      </c>
      <c r="T238" s="537">
        <v>289.1828468826136</v>
      </c>
      <c r="U238" s="537" t="s">
        <v>62</v>
      </c>
    </row>
    <row r="239" spans="1:21" x14ac:dyDescent="0.2">
      <c r="A239" s="537" t="str">
        <f t="shared" si="6"/>
        <v>Moray.2013.Visitor Days.Total</v>
      </c>
      <c r="B239" s="537" t="s">
        <v>196</v>
      </c>
      <c r="C239" s="537" t="str">
        <f t="shared" si="7"/>
        <v>2013.Visitor Days.Total</v>
      </c>
      <c r="D239" s="537" t="s">
        <v>208</v>
      </c>
      <c r="E239" s="537" t="s">
        <v>175</v>
      </c>
      <c r="F239" s="537" t="s">
        <v>55</v>
      </c>
      <c r="G239" s="537" t="s">
        <v>55</v>
      </c>
      <c r="H239" s="537">
        <v>92.126482582832921</v>
      </c>
      <c r="I239" s="537">
        <v>90.7247417159154</v>
      </c>
      <c r="J239" s="537">
        <v>127.51562787893886</v>
      </c>
      <c r="K239" s="537">
        <v>147.51719943767972</v>
      </c>
      <c r="L239" s="537">
        <v>176.69317704686785</v>
      </c>
      <c r="M239" s="537">
        <v>185.50464433456307</v>
      </c>
      <c r="N239" s="537">
        <v>233.67038226939732</v>
      </c>
      <c r="O239" s="537">
        <v>257.35150027213763</v>
      </c>
      <c r="P239" s="537">
        <v>154.04947428934366</v>
      </c>
      <c r="Q239" s="537">
        <v>124.30339783916475</v>
      </c>
      <c r="R239" s="537">
        <v>67.84275985686935</v>
      </c>
      <c r="S239" s="537">
        <v>91.704525780906067</v>
      </c>
      <c r="T239" s="537">
        <v>1749.0039133046166</v>
      </c>
      <c r="U239" s="537" t="s">
        <v>62</v>
      </c>
    </row>
    <row r="240" spans="1:21" x14ac:dyDescent="0.2">
      <c r="A240" s="537" t="str">
        <f t="shared" si="6"/>
        <v>Moray.2013.Visitor Numbers.Serviced Accommodation</v>
      </c>
      <c r="B240" s="537" t="s">
        <v>196</v>
      </c>
      <c r="C240" s="537" t="str">
        <f t="shared" si="7"/>
        <v>2013.Visitor Numbers.Serviced Accommodation</v>
      </c>
      <c r="D240" s="537" t="s">
        <v>208</v>
      </c>
      <c r="E240" s="537" t="s">
        <v>176</v>
      </c>
      <c r="F240" s="537" t="s">
        <v>44</v>
      </c>
      <c r="G240" s="537" t="s">
        <v>44</v>
      </c>
      <c r="H240" s="537">
        <v>11.415811470261142</v>
      </c>
      <c r="I240" s="537">
        <v>12.453237030310092</v>
      </c>
      <c r="J240" s="537">
        <v>19.384522590857806</v>
      </c>
      <c r="K240" s="537">
        <v>13.826526451539658</v>
      </c>
      <c r="L240" s="537">
        <v>22.143780266751971</v>
      </c>
      <c r="M240" s="537">
        <v>24.367687846652892</v>
      </c>
      <c r="N240" s="537">
        <v>30.11915569997759</v>
      </c>
      <c r="O240" s="537">
        <v>30.408873732575795</v>
      </c>
      <c r="P240" s="537">
        <v>26.13874831694617</v>
      </c>
      <c r="Q240" s="537">
        <v>19.684165185615143</v>
      </c>
      <c r="R240" s="537">
        <v>10.574996480990789</v>
      </c>
      <c r="S240" s="537">
        <v>8.1462603499124437</v>
      </c>
      <c r="T240" s="537">
        <v>228.66376542239146</v>
      </c>
      <c r="U240" s="537" t="s">
        <v>62</v>
      </c>
    </row>
    <row r="241" spans="1:21" x14ac:dyDescent="0.2">
      <c r="A241" s="537" t="str">
        <f t="shared" si="6"/>
        <v>Moray.2013.Visitor Numbers.Non-Serviced Accommodation</v>
      </c>
      <c r="B241" s="537" t="s">
        <v>196</v>
      </c>
      <c r="C241" s="537" t="str">
        <f t="shared" si="7"/>
        <v>2013.Visitor Numbers.Non-Serviced Accommodation</v>
      </c>
      <c r="D241" s="537" t="s">
        <v>208</v>
      </c>
      <c r="E241" s="537" t="s">
        <v>176</v>
      </c>
      <c r="F241" s="537" t="s">
        <v>49</v>
      </c>
      <c r="G241" s="537" t="s">
        <v>49</v>
      </c>
      <c r="H241" s="537">
        <v>0.47850385861885425</v>
      </c>
      <c r="I241" s="537">
        <v>1.0565048266902324</v>
      </c>
      <c r="J241" s="537">
        <v>2.6154194178382038</v>
      </c>
      <c r="K241" s="537">
        <v>8.5865261545235931</v>
      </c>
      <c r="L241" s="537">
        <v>8.136638569313682</v>
      </c>
      <c r="M241" s="537">
        <v>8.9484094518166195</v>
      </c>
      <c r="N241" s="537">
        <v>10.907324690302111</v>
      </c>
      <c r="O241" s="537">
        <v>11.104555503942938</v>
      </c>
      <c r="P241" s="537">
        <v>6.8550874651666085</v>
      </c>
      <c r="Q241" s="537">
        <v>5.812123322549775</v>
      </c>
      <c r="R241" s="537">
        <v>1.251092404757669</v>
      </c>
      <c r="S241" s="537">
        <v>1.1340689690931447</v>
      </c>
      <c r="T241" s="537">
        <v>66.886254634613451</v>
      </c>
      <c r="U241" s="537" t="s">
        <v>62</v>
      </c>
    </row>
    <row r="242" spans="1:21" x14ac:dyDescent="0.2">
      <c r="A242" s="537" t="str">
        <f t="shared" si="6"/>
        <v>Moray.2013.Visitor Numbers.SFR</v>
      </c>
      <c r="B242" s="537" t="s">
        <v>196</v>
      </c>
      <c r="C242" s="537" t="str">
        <f t="shared" si="7"/>
        <v>2013.Visitor Numbers.SFR</v>
      </c>
      <c r="D242" s="537" t="s">
        <v>208</v>
      </c>
      <c r="E242" s="537" t="s">
        <v>176</v>
      </c>
      <c r="F242" s="537" t="s">
        <v>19</v>
      </c>
      <c r="G242" s="537" t="s">
        <v>19</v>
      </c>
      <c r="H242" s="537">
        <v>10.027816803124912</v>
      </c>
      <c r="I242" s="537">
        <v>6.2175371243831945</v>
      </c>
      <c r="J242" s="537">
        <v>8.9601415771856487</v>
      </c>
      <c r="K242" s="537">
        <v>11.503363556769765</v>
      </c>
      <c r="L242" s="537">
        <v>8.8487292776177568</v>
      </c>
      <c r="M242" s="537">
        <v>9.5292105156138689</v>
      </c>
      <c r="N242" s="537">
        <v>7.8096278687245402</v>
      </c>
      <c r="O242" s="537">
        <v>14.544628716951712</v>
      </c>
      <c r="P242" s="537">
        <v>8.8981706701210843</v>
      </c>
      <c r="Q242" s="537">
        <v>8.4181206752294369</v>
      </c>
      <c r="R242" s="537">
        <v>7.2995602161775848</v>
      </c>
      <c r="S242" s="537">
        <v>13.989288535809406</v>
      </c>
      <c r="T242" s="537">
        <v>116.04619553770891</v>
      </c>
      <c r="U242" s="537" t="s">
        <v>62</v>
      </c>
    </row>
    <row r="243" spans="1:21" x14ac:dyDescent="0.2">
      <c r="A243" s="537" t="str">
        <f t="shared" si="6"/>
        <v>Moray.2013.Visitor Numbers.Day Visitor</v>
      </c>
      <c r="B243" s="537" t="s">
        <v>196</v>
      </c>
      <c r="C243" s="537" t="str">
        <f t="shared" si="7"/>
        <v>2013.Visitor Numbers.Day Visitor</v>
      </c>
      <c r="D243" s="537" t="s">
        <v>208</v>
      </c>
      <c r="E243" s="537" t="s">
        <v>176</v>
      </c>
      <c r="F243" s="537" t="s">
        <v>73</v>
      </c>
      <c r="G243" s="537" t="s">
        <v>73</v>
      </c>
      <c r="H243" s="537">
        <v>23.611870012385737</v>
      </c>
      <c r="I243" s="537">
        <v>35.81456127839084</v>
      </c>
      <c r="J243" s="537">
        <v>38.950527450751707</v>
      </c>
      <c r="K243" s="537">
        <v>15.123752660715921</v>
      </c>
      <c r="L243" s="537">
        <v>42.353459095965199</v>
      </c>
      <c r="M243" s="537">
        <v>27.112282905346177</v>
      </c>
      <c r="N243" s="537">
        <v>37.259073303362548</v>
      </c>
      <c r="O243" s="537">
        <v>23.115059575662329</v>
      </c>
      <c r="P243" s="537">
        <v>11.213001214182736</v>
      </c>
      <c r="Q243" s="537">
        <v>13.887400773211503</v>
      </c>
      <c r="R243" s="537">
        <v>11.995541243538414</v>
      </c>
      <c r="S243" s="537">
        <v>8.7463173691004794</v>
      </c>
      <c r="T243" s="537">
        <v>289.1828468826136</v>
      </c>
      <c r="U243" s="537" t="s">
        <v>62</v>
      </c>
    </row>
    <row r="244" spans="1:21" x14ac:dyDescent="0.2">
      <c r="A244" s="537" t="str">
        <f t="shared" si="6"/>
        <v>Moray.2013.Visitor Numbers.Total</v>
      </c>
      <c r="B244" s="537" t="s">
        <v>196</v>
      </c>
      <c r="C244" s="537" t="str">
        <f t="shared" si="7"/>
        <v>2013.Visitor Numbers.Total</v>
      </c>
      <c r="D244" s="537" t="s">
        <v>208</v>
      </c>
      <c r="E244" s="537" t="s">
        <v>176</v>
      </c>
      <c r="F244" s="537" t="s">
        <v>55</v>
      </c>
      <c r="G244" s="537" t="s">
        <v>55</v>
      </c>
      <c r="H244" s="537">
        <v>45.534002144390641</v>
      </c>
      <c r="I244" s="537">
        <v>55.541840259774361</v>
      </c>
      <c r="J244" s="537">
        <v>69.91061103663337</v>
      </c>
      <c r="K244" s="537">
        <v>49.040168823548939</v>
      </c>
      <c r="L244" s="537">
        <v>81.48260720964862</v>
      </c>
      <c r="M244" s="537">
        <v>69.957590719429561</v>
      </c>
      <c r="N244" s="537">
        <v>86.09518156236679</v>
      </c>
      <c r="O244" s="537">
        <v>79.173117529132782</v>
      </c>
      <c r="P244" s="537">
        <v>53.105007666416597</v>
      </c>
      <c r="Q244" s="537">
        <v>47.801809956605858</v>
      </c>
      <c r="R244" s="537">
        <v>31.121190345464456</v>
      </c>
      <c r="S244" s="537">
        <v>32.015935223915477</v>
      </c>
      <c r="T244" s="537">
        <v>700.77906247732744</v>
      </c>
      <c r="U244" s="537" t="s">
        <v>62</v>
      </c>
    </row>
    <row r="245" spans="1:21" x14ac:dyDescent="0.2">
      <c r="A245" s="537" t="str">
        <f t="shared" si="6"/>
        <v>Moray.2013.Vehicle Days.Serviced Accommodation</v>
      </c>
      <c r="B245" s="537" t="s">
        <v>196</v>
      </c>
      <c r="C245" s="537" t="str">
        <f t="shared" si="7"/>
        <v>2013.Vehicle Days.Serviced Accommodation</v>
      </c>
      <c r="D245" s="537" t="s">
        <v>208</v>
      </c>
      <c r="E245" s="537" t="s">
        <v>22</v>
      </c>
      <c r="F245" s="537" t="s">
        <v>44</v>
      </c>
      <c r="G245" s="537" t="s">
        <v>44</v>
      </c>
      <c r="H245" s="537">
        <v>5.7281972347762391</v>
      </c>
      <c r="I245" s="537">
        <v>6.121090823622767</v>
      </c>
      <c r="J245" s="537">
        <v>9.4489620034940884</v>
      </c>
      <c r="K245" s="537">
        <v>6.8088511446729516</v>
      </c>
      <c r="L245" s="537">
        <v>7.8631089333383706</v>
      </c>
      <c r="M245" s="537">
        <v>8.7406552843143999</v>
      </c>
      <c r="N245" s="537">
        <v>11.758573388395277</v>
      </c>
      <c r="O245" s="537">
        <v>11.296186534692573</v>
      </c>
      <c r="P245" s="537">
        <v>9.6973141943244787</v>
      </c>
      <c r="Q245" s="537">
        <v>7.9278198865529266</v>
      </c>
      <c r="R245" s="537">
        <v>4.367174684119429</v>
      </c>
      <c r="S245" s="537">
        <v>3.182089947718016</v>
      </c>
      <c r="T245" s="537">
        <v>92.940024060021514</v>
      </c>
      <c r="U245" s="537" t="s">
        <v>62</v>
      </c>
    </row>
    <row r="246" spans="1:21" x14ac:dyDescent="0.2">
      <c r="A246" s="537" t="str">
        <f t="shared" si="6"/>
        <v>Moray.2013.Vehicle Days.Non-Serviced Accommodation</v>
      </c>
      <c r="B246" s="537" t="s">
        <v>196</v>
      </c>
      <c r="C246" s="537" t="str">
        <f t="shared" si="7"/>
        <v>2013.Vehicle Days.Non-Serviced Accommodation</v>
      </c>
      <c r="D246" s="537" t="s">
        <v>208</v>
      </c>
      <c r="E246" s="537" t="s">
        <v>22</v>
      </c>
      <c r="F246" s="537" t="s">
        <v>49</v>
      </c>
      <c r="G246" s="537" t="s">
        <v>49</v>
      </c>
      <c r="H246" s="537">
        <v>0.88411182795698928</v>
      </c>
      <c r="I246" s="537">
        <v>1.3440719696969698</v>
      </c>
      <c r="J246" s="537">
        <v>4.0001411929170558</v>
      </c>
      <c r="K246" s="537">
        <v>8.680820531987429</v>
      </c>
      <c r="L246" s="537">
        <v>11.407911458785897</v>
      </c>
      <c r="M246" s="537">
        <v>11.032194712190265</v>
      </c>
      <c r="N246" s="537">
        <v>15.278477058028384</v>
      </c>
      <c r="O246" s="537">
        <v>15.256564572799201</v>
      </c>
      <c r="P246" s="537">
        <v>10.938501665232911</v>
      </c>
      <c r="Q246" s="537">
        <v>7.7491666357485141</v>
      </c>
      <c r="R246" s="537">
        <v>1.6684600110314396</v>
      </c>
      <c r="S246" s="537">
        <v>1.1583168831168831</v>
      </c>
      <c r="T246" s="537">
        <v>89.398738519491928</v>
      </c>
      <c r="U246" s="537" t="s">
        <v>62</v>
      </c>
    </row>
    <row r="247" spans="1:21" x14ac:dyDescent="0.2">
      <c r="A247" s="537" t="str">
        <f t="shared" si="6"/>
        <v>Moray.2013.Vehicle Days.SFR</v>
      </c>
      <c r="B247" s="537" t="s">
        <v>196</v>
      </c>
      <c r="C247" s="537" t="str">
        <f t="shared" si="7"/>
        <v>2013.Vehicle Days.SFR</v>
      </c>
      <c r="D247" s="537" t="s">
        <v>208</v>
      </c>
      <c r="E247" s="537" t="s">
        <v>22</v>
      </c>
      <c r="F247" s="537" t="s">
        <v>19</v>
      </c>
      <c r="G247" s="537" t="s">
        <v>19</v>
      </c>
      <c r="H247" s="537">
        <v>10.585363417378655</v>
      </c>
      <c r="I247" s="537">
        <v>5.4601280565037866</v>
      </c>
      <c r="J247" s="537">
        <v>7.0247509965135473</v>
      </c>
      <c r="K247" s="537">
        <v>10.548584381557873</v>
      </c>
      <c r="L247" s="537">
        <v>7.0081935878732633</v>
      </c>
      <c r="M247" s="537">
        <v>10.323800069377363</v>
      </c>
      <c r="N247" s="537">
        <v>10.69919018015262</v>
      </c>
      <c r="O247" s="537">
        <v>18.791660302301608</v>
      </c>
      <c r="P247" s="537">
        <v>8.9070688407912044</v>
      </c>
      <c r="Q247" s="537">
        <v>7.3462133092502224</v>
      </c>
      <c r="R247" s="537">
        <v>6.2849213461288995</v>
      </c>
      <c r="S247" s="537">
        <v>14.590827942849209</v>
      </c>
      <c r="T247" s="537">
        <v>117.57070243067824</v>
      </c>
      <c r="U247" s="537" t="s">
        <v>62</v>
      </c>
    </row>
    <row r="248" spans="1:21" x14ac:dyDescent="0.2">
      <c r="A248" s="537" t="str">
        <f t="shared" si="6"/>
        <v>Moray.2013.Vehicle Days.Day Visitor</v>
      </c>
      <c r="B248" s="537" t="s">
        <v>196</v>
      </c>
      <c r="C248" s="537" t="str">
        <f t="shared" si="7"/>
        <v>2013.Vehicle Days.Day Visitor</v>
      </c>
      <c r="D248" s="537" t="s">
        <v>208</v>
      </c>
      <c r="E248" s="537" t="s">
        <v>22</v>
      </c>
      <c r="F248" s="537" t="s">
        <v>73</v>
      </c>
      <c r="G248" s="537" t="s">
        <v>73</v>
      </c>
      <c r="H248" s="537">
        <v>5.3969988599738832</v>
      </c>
      <c r="I248" s="537">
        <v>8.1861854350607626</v>
      </c>
      <c r="J248" s="537">
        <v>8.3094458561603641</v>
      </c>
      <c r="K248" s="537">
        <v>3.0247505321431842</v>
      </c>
      <c r="L248" s="537">
        <v>8.4706918191930409</v>
      </c>
      <c r="M248" s="537">
        <v>5.56149392930178</v>
      </c>
      <c r="N248" s="537">
        <v>7.0969663434976287</v>
      </c>
      <c r="O248" s="537">
        <v>4.4028684906023479</v>
      </c>
      <c r="P248" s="537">
        <v>2.3921069256923171</v>
      </c>
      <c r="Q248" s="537">
        <v>2.9626454982851209</v>
      </c>
      <c r="R248" s="537">
        <v>2.5590487986215287</v>
      </c>
      <c r="S248" s="537">
        <v>1.8658810387414357</v>
      </c>
      <c r="T248" s="537">
        <v>60.229083527273389</v>
      </c>
      <c r="U248" s="537" t="s">
        <v>62</v>
      </c>
    </row>
    <row r="249" spans="1:21" x14ac:dyDescent="0.2">
      <c r="A249" s="537" t="str">
        <f t="shared" si="6"/>
        <v>Moray.2013.Vehicle Days.Total</v>
      </c>
      <c r="B249" s="537" t="s">
        <v>196</v>
      </c>
      <c r="C249" s="537" t="str">
        <f t="shared" si="7"/>
        <v>2013.Vehicle Days.Total</v>
      </c>
      <c r="D249" s="537" t="s">
        <v>208</v>
      </c>
      <c r="E249" s="537" t="s">
        <v>22</v>
      </c>
      <c r="F249" s="537" t="s">
        <v>55</v>
      </c>
      <c r="G249" s="537" t="s">
        <v>55</v>
      </c>
      <c r="H249" s="537">
        <v>22.594671340085767</v>
      </c>
      <c r="I249" s="537">
        <v>21.111476284884283</v>
      </c>
      <c r="J249" s="537">
        <v>28.783300049085057</v>
      </c>
      <c r="K249" s="537">
        <v>29.063006590361436</v>
      </c>
      <c r="L249" s="537">
        <v>34.749905799190572</v>
      </c>
      <c r="M249" s="537">
        <v>35.658143995183806</v>
      </c>
      <c r="N249" s="537">
        <v>44.83320697007391</v>
      </c>
      <c r="O249" s="537">
        <v>49.747279900395725</v>
      </c>
      <c r="P249" s="537">
        <v>31.934991626040912</v>
      </c>
      <c r="Q249" s="537">
        <v>25.985845329836785</v>
      </c>
      <c r="R249" s="537">
        <v>14.879604839901297</v>
      </c>
      <c r="S249" s="537">
        <v>20.797115812425545</v>
      </c>
      <c r="T249" s="537">
        <v>360.13854853746511</v>
      </c>
      <c r="U249" s="537" t="s">
        <v>62</v>
      </c>
    </row>
    <row r="250" spans="1:21" x14ac:dyDescent="0.2">
      <c r="A250" s="537" t="str">
        <f t="shared" si="6"/>
        <v>Moray.2013.Vehicle Numbers.Serviced Accommodation</v>
      </c>
      <c r="B250" s="537" t="s">
        <v>196</v>
      </c>
      <c r="C250" s="537" t="str">
        <f t="shared" si="7"/>
        <v>2013.Vehicle Numbers.Serviced Accommodation</v>
      </c>
      <c r="D250" s="537" t="s">
        <v>208</v>
      </c>
      <c r="E250" s="537" t="s">
        <v>23</v>
      </c>
      <c r="F250" s="537" t="s">
        <v>44</v>
      </c>
      <c r="G250" s="537" t="s">
        <v>44</v>
      </c>
      <c r="H250" s="537">
        <v>2.4658191379059522</v>
      </c>
      <c r="I250" s="537">
        <v>2.8850076471967867</v>
      </c>
      <c r="J250" s="537">
        <v>4.4875031608286085</v>
      </c>
      <c r="K250" s="537">
        <v>2.7636794093420365</v>
      </c>
      <c r="L250" s="537">
        <v>4.6765382157790132</v>
      </c>
      <c r="M250" s="537">
        <v>4.7683830021519586</v>
      </c>
      <c r="N250" s="537">
        <v>6.2370932864715183</v>
      </c>
      <c r="O250" s="537">
        <v>6.3189050768598047</v>
      </c>
      <c r="P250" s="537">
        <v>5.5384075247502516</v>
      </c>
      <c r="Q250" s="537">
        <v>4.1828449745715091</v>
      </c>
      <c r="R250" s="537">
        <v>2.3242679167178677</v>
      </c>
      <c r="S250" s="537">
        <v>1.8343878884409044</v>
      </c>
      <c r="T250" s="537">
        <v>48.482837241016213</v>
      </c>
      <c r="U250" s="537" t="s">
        <v>62</v>
      </c>
    </row>
    <row r="251" spans="1:21" x14ac:dyDescent="0.2">
      <c r="A251" s="537" t="str">
        <f t="shared" si="6"/>
        <v>Moray.2013.Vehicle Numbers.Non-Serviced Accommodation</v>
      </c>
      <c r="B251" s="537" t="s">
        <v>196</v>
      </c>
      <c r="C251" s="537" t="str">
        <f t="shared" si="7"/>
        <v>2013.Vehicle Numbers.Non-Serviced Accommodation</v>
      </c>
      <c r="D251" s="537" t="s">
        <v>208</v>
      </c>
      <c r="E251" s="537" t="s">
        <v>23</v>
      </c>
      <c r="F251" s="537" t="s">
        <v>49</v>
      </c>
      <c r="G251" s="537" t="s">
        <v>49</v>
      </c>
      <c r="H251" s="537">
        <v>0.10033145422653396</v>
      </c>
      <c r="I251" s="537">
        <v>0.2080994355601973</v>
      </c>
      <c r="J251" s="537">
        <v>0.5862146971016664</v>
      </c>
      <c r="K251" s="537">
        <v>1.4080389384909169</v>
      </c>
      <c r="L251" s="537">
        <v>1.4930032221762295</v>
      </c>
      <c r="M251" s="537">
        <v>1.4913984273567102</v>
      </c>
      <c r="N251" s="537">
        <v>1.9326360226701871</v>
      </c>
      <c r="O251" s="537">
        <v>1.9707512773781475</v>
      </c>
      <c r="P251" s="537">
        <v>1.2730876721023703</v>
      </c>
      <c r="Q251" s="537">
        <v>1.0793943313306724</v>
      </c>
      <c r="R251" s="537">
        <v>0.23234573231213854</v>
      </c>
      <c r="S251" s="537">
        <v>0.21061280854586975</v>
      </c>
      <c r="T251" s="537">
        <v>11.98591401925164</v>
      </c>
      <c r="U251" s="537" t="s">
        <v>62</v>
      </c>
    </row>
    <row r="252" spans="1:21" x14ac:dyDescent="0.2">
      <c r="A252" s="537" t="str">
        <f t="shared" si="6"/>
        <v>Moray.2013.Vehicle Numbers.SFR</v>
      </c>
      <c r="B252" s="537" t="s">
        <v>196</v>
      </c>
      <c r="C252" s="537" t="str">
        <f t="shared" si="7"/>
        <v>2013.Vehicle Numbers.SFR</v>
      </c>
      <c r="D252" s="537" t="s">
        <v>208</v>
      </c>
      <c r="E252" s="537" t="s">
        <v>23</v>
      </c>
      <c r="F252" s="537" t="s">
        <v>19</v>
      </c>
      <c r="G252" s="537" t="s">
        <v>19</v>
      </c>
      <c r="H252" s="537">
        <v>2.8077887048749752</v>
      </c>
      <c r="I252" s="537">
        <v>1.5826458134793584</v>
      </c>
      <c r="J252" s="537">
        <v>2.090699701343318</v>
      </c>
      <c r="K252" s="537">
        <v>2.6841181632462785</v>
      </c>
      <c r="L252" s="537">
        <v>1.7697458555235512</v>
      </c>
      <c r="M252" s="537">
        <v>2.0524453418245256</v>
      </c>
      <c r="N252" s="537">
        <v>1.5619255737449078</v>
      </c>
      <c r="O252" s="537">
        <v>2.9089257433903417</v>
      </c>
      <c r="P252" s="537">
        <v>2.0762398230282528</v>
      </c>
      <c r="Q252" s="537">
        <v>1.9642281575535352</v>
      </c>
      <c r="R252" s="537">
        <v>1.7032307171081029</v>
      </c>
      <c r="S252" s="537">
        <v>3.2641673250221945</v>
      </c>
      <c r="T252" s="537">
        <v>26.466160920139338</v>
      </c>
      <c r="U252" s="537" t="s">
        <v>62</v>
      </c>
    </row>
    <row r="253" spans="1:21" x14ac:dyDescent="0.2">
      <c r="A253" s="537" t="str">
        <f t="shared" si="6"/>
        <v>Moray.2013.Vehicle Numbers.Day Visitor</v>
      </c>
      <c r="B253" s="537" t="s">
        <v>196</v>
      </c>
      <c r="C253" s="537" t="str">
        <f t="shared" si="7"/>
        <v>2013.Vehicle Numbers.Day Visitor</v>
      </c>
      <c r="D253" s="537" t="s">
        <v>208</v>
      </c>
      <c r="E253" s="537" t="s">
        <v>23</v>
      </c>
      <c r="F253" s="537" t="s">
        <v>73</v>
      </c>
      <c r="G253" s="537" t="s">
        <v>73</v>
      </c>
      <c r="H253" s="537">
        <v>5.3969988599738832</v>
      </c>
      <c r="I253" s="537">
        <v>8.1861854350607626</v>
      </c>
      <c r="J253" s="537">
        <v>8.3094458561603641</v>
      </c>
      <c r="K253" s="537">
        <v>3.0247505321431842</v>
      </c>
      <c r="L253" s="537">
        <v>8.4706918191930409</v>
      </c>
      <c r="M253" s="537">
        <v>5.56149392930178</v>
      </c>
      <c r="N253" s="537">
        <v>7.0969663434976287</v>
      </c>
      <c r="O253" s="537">
        <v>4.4028684906023479</v>
      </c>
      <c r="P253" s="537">
        <v>2.3921069256923171</v>
      </c>
      <c r="Q253" s="537">
        <v>2.9626454982851209</v>
      </c>
      <c r="R253" s="537">
        <v>2.5590487986215287</v>
      </c>
      <c r="S253" s="537">
        <v>1.8658810387414357</v>
      </c>
      <c r="T253" s="537">
        <v>60.229083527273389</v>
      </c>
      <c r="U253" s="537" t="s">
        <v>62</v>
      </c>
    </row>
    <row r="254" spans="1:21" x14ac:dyDescent="0.2">
      <c r="A254" s="537" t="str">
        <f t="shared" si="6"/>
        <v>Moray.2013.Vehicle Numbers.Total</v>
      </c>
      <c r="B254" s="537" t="s">
        <v>196</v>
      </c>
      <c r="C254" s="537" t="str">
        <f t="shared" si="7"/>
        <v>2013.Vehicle Numbers.Total</v>
      </c>
      <c r="D254" s="537" t="s">
        <v>208</v>
      </c>
      <c r="E254" s="537" t="s">
        <v>23</v>
      </c>
      <c r="F254" s="537" t="s">
        <v>55</v>
      </c>
      <c r="G254" s="537" t="s">
        <v>55</v>
      </c>
      <c r="H254" s="537">
        <v>10.770938156981344</v>
      </c>
      <c r="I254" s="537">
        <v>12.861938331297106</v>
      </c>
      <c r="J254" s="537">
        <v>15.473863415433957</v>
      </c>
      <c r="K254" s="537">
        <v>9.8805870432224161</v>
      </c>
      <c r="L254" s="537">
        <v>16.409979112671834</v>
      </c>
      <c r="M254" s="537">
        <v>13.873720700634973</v>
      </c>
      <c r="N254" s="537">
        <v>16.828621226384243</v>
      </c>
      <c r="O254" s="537">
        <v>15.601450588230641</v>
      </c>
      <c r="P254" s="537">
        <v>11.279841945573192</v>
      </c>
      <c r="Q254" s="537">
        <v>10.189112961740836</v>
      </c>
      <c r="R254" s="537">
        <v>6.818893164759638</v>
      </c>
      <c r="S254" s="537">
        <v>7.1750490607504043</v>
      </c>
      <c r="T254" s="537">
        <v>147.16399570768061</v>
      </c>
      <c r="U254" s="537" t="s">
        <v>62</v>
      </c>
    </row>
    <row r="255" spans="1:21" x14ac:dyDescent="0.2">
      <c r="A255" s="537" t="str">
        <f t="shared" si="6"/>
        <v>Moray.2013.Accommodation.Serviced Accommodation</v>
      </c>
      <c r="B255" s="537" t="s">
        <v>196</v>
      </c>
      <c r="C255" s="537" t="str">
        <f t="shared" si="7"/>
        <v>2013.Accommodation.Serviced Accommodation</v>
      </c>
      <c r="D255" s="537" t="s">
        <v>208</v>
      </c>
      <c r="E255" s="537" t="s">
        <v>24</v>
      </c>
      <c r="F255" s="537" t="s">
        <v>44</v>
      </c>
      <c r="G255" s="537" t="s">
        <v>44</v>
      </c>
      <c r="H255" s="537">
        <v>2580.4193548387098</v>
      </c>
      <c r="I255" s="537">
        <v>2598</v>
      </c>
      <c r="J255" s="537">
        <v>2611</v>
      </c>
      <c r="K255" s="537">
        <v>2633.4193548387098</v>
      </c>
      <c r="L255" s="537">
        <v>2647</v>
      </c>
      <c r="M255" s="537">
        <v>2650</v>
      </c>
      <c r="N255" s="537">
        <v>2650</v>
      </c>
      <c r="O255" s="537">
        <v>2650</v>
      </c>
      <c r="P255" s="537">
        <v>2647</v>
      </c>
      <c r="Q255" s="537">
        <v>2636</v>
      </c>
      <c r="R255" s="537">
        <v>2603</v>
      </c>
      <c r="S255" s="537">
        <v>2569.6774193548385</v>
      </c>
      <c r="T255" s="537">
        <v>2650</v>
      </c>
      <c r="U255" s="537" t="s">
        <v>59</v>
      </c>
    </row>
    <row r="256" spans="1:21" x14ac:dyDescent="0.2">
      <c r="A256" s="537" t="str">
        <f t="shared" si="6"/>
        <v>Moray.2013.Accommodation.Non-Serviced Accommodation</v>
      </c>
      <c r="B256" s="537" t="s">
        <v>196</v>
      </c>
      <c r="C256" s="537" t="str">
        <f t="shared" si="7"/>
        <v>2013.Accommodation.Non-Serviced Accommodation</v>
      </c>
      <c r="D256" s="537" t="s">
        <v>208</v>
      </c>
      <c r="E256" s="537" t="s">
        <v>24</v>
      </c>
      <c r="F256" s="537" t="s">
        <v>49</v>
      </c>
      <c r="G256" s="537" t="s">
        <v>49</v>
      </c>
      <c r="H256" s="537">
        <v>1087</v>
      </c>
      <c r="I256" s="537">
        <v>1075</v>
      </c>
      <c r="J256" s="537">
        <v>1694</v>
      </c>
      <c r="K256" s="537">
        <v>4193</v>
      </c>
      <c r="L256" s="537">
        <v>4210</v>
      </c>
      <c r="M256" s="537">
        <v>4225</v>
      </c>
      <c r="N256" s="537">
        <v>4225</v>
      </c>
      <c r="O256" s="537">
        <v>4225</v>
      </c>
      <c r="P256" s="537">
        <v>4225</v>
      </c>
      <c r="Q256" s="537">
        <v>4042</v>
      </c>
      <c r="R256" s="537">
        <v>1242</v>
      </c>
      <c r="S256" s="537">
        <v>1087</v>
      </c>
      <c r="T256" s="537">
        <v>4225</v>
      </c>
      <c r="U256" s="537" t="s">
        <v>59</v>
      </c>
    </row>
    <row r="257" spans="1:21" x14ac:dyDescent="0.2">
      <c r="A257" s="537" t="str">
        <f t="shared" si="6"/>
        <v>Moray.2013.Accommodation.Total</v>
      </c>
      <c r="B257" s="537" t="s">
        <v>196</v>
      </c>
      <c r="C257" s="537" t="str">
        <f t="shared" si="7"/>
        <v>2013.Accommodation.Total</v>
      </c>
      <c r="D257" s="537" t="s">
        <v>208</v>
      </c>
      <c r="E257" s="537" t="s">
        <v>24</v>
      </c>
      <c r="F257" s="537" t="s">
        <v>55</v>
      </c>
      <c r="G257" s="537" t="s">
        <v>55</v>
      </c>
      <c r="H257" s="537">
        <v>3667.4193548387098</v>
      </c>
      <c r="I257" s="537">
        <v>3673</v>
      </c>
      <c r="J257" s="537">
        <v>4305</v>
      </c>
      <c r="K257" s="537">
        <v>6826.4193548387102</v>
      </c>
      <c r="L257" s="537">
        <v>6857</v>
      </c>
      <c r="M257" s="537">
        <v>6875</v>
      </c>
      <c r="N257" s="537">
        <v>6875</v>
      </c>
      <c r="O257" s="537">
        <v>6875</v>
      </c>
      <c r="P257" s="537">
        <v>6872</v>
      </c>
      <c r="Q257" s="537">
        <v>6678</v>
      </c>
      <c r="R257" s="537">
        <v>3845</v>
      </c>
      <c r="S257" s="537">
        <v>3656.6774193548385</v>
      </c>
      <c r="T257" s="537">
        <v>6875</v>
      </c>
      <c r="U257" s="537" t="s">
        <v>59</v>
      </c>
    </row>
    <row r="258" spans="1:21" x14ac:dyDescent="0.2">
      <c r="A258" s="537" t="str">
        <f t="shared" si="6"/>
        <v>Moray.2013.Economic Impact.Total</v>
      </c>
      <c r="B258" s="537" t="s">
        <v>196</v>
      </c>
      <c r="C258" s="537" t="str">
        <f t="shared" si="7"/>
        <v>2013.Economic Impact.Total</v>
      </c>
      <c r="D258" s="537" t="s">
        <v>208</v>
      </c>
      <c r="E258" s="537" t="s">
        <v>18</v>
      </c>
      <c r="F258" s="537" t="s">
        <v>55</v>
      </c>
      <c r="G258" s="537" t="s">
        <v>55</v>
      </c>
      <c r="H258" s="537">
        <v>6233.8302262433035</v>
      </c>
      <c r="I258" s="537">
        <v>6241.355893347386</v>
      </c>
      <c r="J258" s="537">
        <v>8609.4996217212756</v>
      </c>
      <c r="K258" s="537">
        <v>7415.6738235486173</v>
      </c>
      <c r="L258" s="537">
        <v>8510.1151197303334</v>
      </c>
      <c r="M258" s="537">
        <v>9281.7243738731777</v>
      </c>
      <c r="N258" s="537">
        <v>12868.22081705985</v>
      </c>
      <c r="O258" s="537">
        <v>13017.027309419922</v>
      </c>
      <c r="P258" s="537">
        <v>7949.8777227078699</v>
      </c>
      <c r="Q258" s="537">
        <v>6874.2382368320832</v>
      </c>
      <c r="R258" s="537">
        <v>3820.2491644670995</v>
      </c>
      <c r="S258" s="537">
        <v>3806.0792318958456</v>
      </c>
      <c r="T258" s="537">
        <v>94627.891540846758</v>
      </c>
      <c r="U258" s="537" t="s">
        <v>58</v>
      </c>
    </row>
    <row r="259" spans="1:21" hidden="1" x14ac:dyDescent="0.2">
      <c r="A259" s="537" t="str">
        <f t="shared" si="6"/>
        <v>BLANK...</v>
      </c>
      <c r="B259" s="537" t="s">
        <v>193</v>
      </c>
      <c r="C259" s="537" t="str">
        <f t="shared" si="7"/>
        <v>..</v>
      </c>
      <c r="D259" s="537"/>
      <c r="E259" s="537"/>
      <c r="F259" s="537"/>
      <c r="G259" s="537"/>
      <c r="H259" s="537"/>
      <c r="I259" s="537"/>
      <c r="J259" s="537"/>
      <c r="K259" s="537"/>
      <c r="L259" s="537"/>
      <c r="M259" s="537"/>
      <c r="N259" s="537"/>
      <c r="O259" s="537"/>
      <c r="P259" s="537"/>
      <c r="Q259" s="537"/>
      <c r="R259" s="537"/>
      <c r="S259" s="537"/>
      <c r="T259" s="537"/>
      <c r="U259" s="537"/>
    </row>
    <row r="260" spans="1:21" hidden="1" x14ac:dyDescent="0.2">
      <c r="A260" s="537" t="str">
        <f t="shared" si="6"/>
        <v>BLANK...</v>
      </c>
      <c r="B260" s="537" t="s">
        <v>193</v>
      </c>
      <c r="C260" s="537" t="str">
        <f t="shared" si="7"/>
        <v>..</v>
      </c>
      <c r="D260" s="537"/>
      <c r="E260" s="537"/>
      <c r="F260" s="537"/>
      <c r="G260" s="537"/>
      <c r="H260" s="537"/>
      <c r="I260" s="537"/>
      <c r="J260" s="537"/>
      <c r="K260" s="537"/>
      <c r="L260" s="537"/>
      <c r="M260" s="537"/>
      <c r="N260" s="537"/>
      <c r="O260" s="537"/>
      <c r="P260" s="537"/>
      <c r="Q260" s="537"/>
      <c r="R260" s="537"/>
      <c r="S260" s="537"/>
      <c r="T260" s="537"/>
      <c r="U260" s="537"/>
    </row>
    <row r="261" spans="1:21" hidden="1" x14ac:dyDescent="0.2">
      <c r="A261" s="537" t="str">
        <f t="shared" si="6"/>
        <v>BLANK...</v>
      </c>
      <c r="B261" s="537" t="s">
        <v>193</v>
      </c>
      <c r="C261" s="537" t="str">
        <f t="shared" si="7"/>
        <v>..</v>
      </c>
      <c r="D261" s="537"/>
      <c r="E261" s="537"/>
      <c r="F261" s="537"/>
      <c r="G261" s="537"/>
      <c r="H261" s="537"/>
      <c r="I261" s="537"/>
      <c r="J261" s="537"/>
      <c r="K261" s="537"/>
      <c r="L261" s="537"/>
      <c r="M261" s="537"/>
      <c r="N261" s="537"/>
      <c r="O261" s="537"/>
      <c r="P261" s="537"/>
      <c r="Q261" s="537"/>
      <c r="R261" s="537"/>
      <c r="S261" s="537"/>
      <c r="T261" s="537"/>
      <c r="U261" s="537"/>
    </row>
    <row r="262" spans="1:21" hidden="1" x14ac:dyDescent="0.2">
      <c r="A262" s="537" t="str">
        <f t="shared" si="6"/>
        <v>BLANK...</v>
      </c>
      <c r="B262" s="537" t="s">
        <v>193</v>
      </c>
      <c r="C262" s="537" t="str">
        <f t="shared" si="7"/>
        <v>..</v>
      </c>
      <c r="D262" s="537"/>
      <c r="E262" s="537"/>
      <c r="F262" s="537"/>
      <c r="G262" s="537"/>
      <c r="H262" s="537"/>
      <c r="I262" s="537"/>
      <c r="J262" s="537"/>
      <c r="K262" s="537"/>
      <c r="L262" s="537"/>
      <c r="M262" s="537"/>
      <c r="N262" s="537"/>
      <c r="O262" s="537"/>
      <c r="P262" s="537"/>
      <c r="Q262" s="537"/>
      <c r="R262" s="537"/>
      <c r="S262" s="537"/>
      <c r="T262" s="537"/>
      <c r="U262" s="537"/>
    </row>
    <row r="263" spans="1:21" hidden="1" x14ac:dyDescent="0.2">
      <c r="A263" s="537" t="str">
        <f t="shared" si="6"/>
        <v>BLANK...</v>
      </c>
      <c r="B263" s="537" t="s">
        <v>193</v>
      </c>
      <c r="C263" s="537" t="str">
        <f t="shared" si="7"/>
        <v>..</v>
      </c>
      <c r="D263" s="537"/>
      <c r="E263" s="537"/>
      <c r="F263" s="537"/>
      <c r="G263" s="537"/>
      <c r="H263" s="537"/>
      <c r="I263" s="537"/>
      <c r="J263" s="537"/>
      <c r="K263" s="537"/>
      <c r="L263" s="537"/>
      <c r="M263" s="537"/>
      <c r="N263" s="537"/>
      <c r="O263" s="537"/>
      <c r="P263" s="537"/>
      <c r="Q263" s="537"/>
      <c r="R263" s="537"/>
      <c r="S263" s="537"/>
      <c r="T263" s="537"/>
      <c r="U263" s="537"/>
    </row>
    <row r="264" spans="1:21" hidden="1" x14ac:dyDescent="0.2">
      <c r="A264" s="537" t="str">
        <f t="shared" si="6"/>
        <v>BLANK...</v>
      </c>
      <c r="B264" s="537" t="s">
        <v>193</v>
      </c>
      <c r="C264" s="537" t="str">
        <f t="shared" si="7"/>
        <v>..</v>
      </c>
      <c r="D264" s="537"/>
      <c r="E264" s="537"/>
      <c r="F264" s="537"/>
      <c r="G264" s="537"/>
      <c r="H264" s="537"/>
      <c r="I264" s="537"/>
      <c r="J264" s="537"/>
      <c r="K264" s="537"/>
      <c r="L264" s="537"/>
      <c r="M264" s="537"/>
      <c r="N264" s="537"/>
      <c r="O264" s="537"/>
      <c r="P264" s="537"/>
      <c r="Q264" s="537"/>
      <c r="R264" s="537"/>
      <c r="S264" s="537"/>
      <c r="T264" s="537"/>
      <c r="U264" s="537"/>
    </row>
    <row r="265" spans="1:21" hidden="1" x14ac:dyDescent="0.2">
      <c r="A265" s="537" t="str">
        <f t="shared" ref="A265:A328" si="8">B265&amp;"."&amp;D265&amp;"."&amp;E265&amp;"."&amp;F265</f>
        <v>BLANK...</v>
      </c>
      <c r="B265" s="537" t="s">
        <v>193</v>
      </c>
      <c r="C265" s="537" t="str">
        <f t="shared" ref="C265:C328" si="9">D265&amp;"."&amp;E265&amp;"."&amp;F265</f>
        <v>..</v>
      </c>
      <c r="D265" s="537"/>
      <c r="E265" s="537"/>
      <c r="F265" s="537"/>
      <c r="G265" s="537"/>
      <c r="H265" s="537"/>
      <c r="I265" s="537"/>
      <c r="J265" s="537"/>
      <c r="K265" s="537"/>
      <c r="L265" s="537"/>
      <c r="M265" s="537"/>
      <c r="N265" s="537"/>
      <c r="O265" s="537"/>
      <c r="P265" s="537"/>
      <c r="Q265" s="537"/>
      <c r="R265" s="537"/>
      <c r="S265" s="537"/>
      <c r="T265" s="537"/>
      <c r="U265" s="537"/>
    </row>
    <row r="266" spans="1:21" hidden="1" x14ac:dyDescent="0.2">
      <c r="A266" s="537" t="str">
        <f t="shared" si="8"/>
        <v>BLANK...</v>
      </c>
      <c r="B266" s="537" t="s">
        <v>193</v>
      </c>
      <c r="C266" s="537" t="str">
        <f t="shared" si="9"/>
        <v>..</v>
      </c>
      <c r="D266" s="537"/>
      <c r="E266" s="537"/>
      <c r="F266" s="537"/>
      <c r="G266" s="537"/>
      <c r="H266" s="537"/>
      <c r="I266" s="537"/>
      <c r="J266" s="537"/>
      <c r="K266" s="537"/>
      <c r="L266" s="537"/>
      <c r="M266" s="537"/>
      <c r="N266" s="537"/>
      <c r="O266" s="537"/>
      <c r="P266" s="537"/>
      <c r="Q266" s="537"/>
      <c r="R266" s="537"/>
      <c r="S266" s="537"/>
      <c r="T266" s="537"/>
      <c r="U266" s="537"/>
    </row>
    <row r="267" spans="1:21" hidden="1" x14ac:dyDescent="0.2">
      <c r="A267" s="537" t="str">
        <f t="shared" si="8"/>
        <v>BLANK...</v>
      </c>
      <c r="B267" s="537" t="s">
        <v>193</v>
      </c>
      <c r="C267" s="537" t="str">
        <f t="shared" si="9"/>
        <v>..</v>
      </c>
      <c r="D267" s="537"/>
      <c r="E267" s="537"/>
      <c r="F267" s="537"/>
      <c r="G267" s="537"/>
      <c r="H267" s="537"/>
      <c r="I267" s="537"/>
      <c r="J267" s="537"/>
      <c r="K267" s="537"/>
      <c r="L267" s="537"/>
      <c r="M267" s="537"/>
      <c r="N267" s="537"/>
      <c r="O267" s="537"/>
      <c r="P267" s="537"/>
      <c r="Q267" s="537"/>
      <c r="R267" s="537"/>
      <c r="S267" s="537"/>
      <c r="T267" s="537"/>
      <c r="U267" s="537"/>
    </row>
    <row r="268" spans="1:21" hidden="1" x14ac:dyDescent="0.2">
      <c r="A268" s="537" t="str">
        <f t="shared" si="8"/>
        <v>BLANK...</v>
      </c>
      <c r="B268" s="537" t="s">
        <v>193</v>
      </c>
      <c r="C268" s="537" t="str">
        <f t="shared" si="9"/>
        <v>..</v>
      </c>
      <c r="D268" s="537"/>
      <c r="E268" s="537"/>
      <c r="F268" s="537"/>
      <c r="G268" s="537"/>
      <c r="H268" s="537"/>
      <c r="I268" s="537"/>
      <c r="J268" s="537"/>
      <c r="K268" s="537"/>
      <c r="L268" s="537"/>
      <c r="M268" s="537"/>
      <c r="N268" s="537"/>
      <c r="O268" s="537"/>
      <c r="P268" s="537"/>
      <c r="Q268" s="537"/>
      <c r="R268" s="537"/>
      <c r="S268" s="537"/>
      <c r="T268" s="537"/>
      <c r="U268" s="537"/>
    </row>
    <row r="269" spans="1:21" hidden="1" x14ac:dyDescent="0.2">
      <c r="A269" s="537" t="str">
        <f t="shared" si="8"/>
        <v>BLANK...</v>
      </c>
      <c r="B269" s="537" t="s">
        <v>193</v>
      </c>
      <c r="C269" s="537" t="str">
        <f t="shared" si="9"/>
        <v>..</v>
      </c>
      <c r="D269" s="537"/>
      <c r="E269" s="537"/>
      <c r="F269" s="537"/>
      <c r="G269" s="537"/>
      <c r="H269" s="537"/>
      <c r="I269" s="537"/>
      <c r="J269" s="537"/>
      <c r="K269" s="537"/>
      <c r="L269" s="537"/>
      <c r="M269" s="537"/>
      <c r="N269" s="537"/>
      <c r="O269" s="537"/>
      <c r="P269" s="537"/>
      <c r="Q269" s="537"/>
      <c r="R269" s="537"/>
      <c r="S269" s="537"/>
      <c r="T269" s="537"/>
      <c r="U269" s="537"/>
    </row>
    <row r="270" spans="1:21" hidden="1" x14ac:dyDescent="0.2">
      <c r="A270" s="537" t="str">
        <f t="shared" si="8"/>
        <v>BLANK...</v>
      </c>
      <c r="B270" s="537" t="s">
        <v>193</v>
      </c>
      <c r="C270" s="537" t="str">
        <f t="shared" si="9"/>
        <v>..</v>
      </c>
      <c r="D270" s="537"/>
      <c r="E270" s="537"/>
      <c r="F270" s="537"/>
      <c r="G270" s="537"/>
      <c r="H270" s="537"/>
      <c r="I270" s="537"/>
      <c r="J270" s="537"/>
      <c r="K270" s="537"/>
      <c r="L270" s="537"/>
      <c r="M270" s="537"/>
      <c r="N270" s="537"/>
      <c r="O270" s="537"/>
      <c r="P270" s="537"/>
      <c r="Q270" s="537"/>
      <c r="R270" s="537"/>
      <c r="S270" s="537"/>
      <c r="T270" s="537"/>
      <c r="U270" s="537"/>
    </row>
    <row r="271" spans="1:21" hidden="1" x14ac:dyDescent="0.2">
      <c r="A271" s="537" t="str">
        <f t="shared" si="8"/>
        <v>BLANK...</v>
      </c>
      <c r="B271" s="537" t="s">
        <v>193</v>
      </c>
      <c r="C271" s="537" t="str">
        <f t="shared" si="9"/>
        <v>..</v>
      </c>
      <c r="D271" s="537"/>
      <c r="E271" s="537"/>
      <c r="F271" s="537"/>
      <c r="G271" s="537"/>
      <c r="H271" s="537"/>
      <c r="I271" s="537"/>
      <c r="J271" s="537"/>
      <c r="K271" s="537"/>
      <c r="L271" s="537"/>
      <c r="M271" s="537"/>
      <c r="N271" s="537"/>
      <c r="O271" s="537"/>
      <c r="P271" s="537"/>
      <c r="Q271" s="537"/>
      <c r="R271" s="537"/>
      <c r="S271" s="537"/>
      <c r="T271" s="537"/>
      <c r="U271" s="537"/>
    </row>
    <row r="272" spans="1:21" hidden="1" x14ac:dyDescent="0.2">
      <c r="A272" s="537" t="str">
        <f t="shared" si="8"/>
        <v>BLANK...</v>
      </c>
      <c r="B272" s="537" t="s">
        <v>193</v>
      </c>
      <c r="C272" s="537" t="str">
        <f t="shared" si="9"/>
        <v>..</v>
      </c>
      <c r="D272" s="537"/>
      <c r="E272" s="537"/>
      <c r="F272" s="537"/>
      <c r="G272" s="537"/>
      <c r="H272" s="537"/>
      <c r="I272" s="537"/>
      <c r="J272" s="537"/>
      <c r="K272" s="537"/>
      <c r="L272" s="537"/>
      <c r="M272" s="537"/>
      <c r="N272" s="537"/>
      <c r="O272" s="537"/>
      <c r="P272" s="537"/>
      <c r="Q272" s="537"/>
      <c r="R272" s="537"/>
      <c r="S272" s="537"/>
      <c r="T272" s="537"/>
      <c r="U272" s="537"/>
    </row>
    <row r="273" spans="1:21" hidden="1" x14ac:dyDescent="0.2">
      <c r="A273" s="537" t="str">
        <f t="shared" si="8"/>
        <v>BLANK...</v>
      </c>
      <c r="B273" s="537" t="s">
        <v>193</v>
      </c>
      <c r="C273" s="537" t="str">
        <f t="shared" si="9"/>
        <v>..</v>
      </c>
      <c r="D273" s="537"/>
      <c r="E273" s="537"/>
      <c r="F273" s="537"/>
      <c r="G273" s="537"/>
      <c r="H273" s="537"/>
      <c r="I273" s="537"/>
      <c r="J273" s="537"/>
      <c r="K273" s="537"/>
      <c r="L273" s="537"/>
      <c r="M273" s="537"/>
      <c r="N273" s="537"/>
      <c r="O273" s="537"/>
      <c r="P273" s="537"/>
      <c r="Q273" s="537"/>
      <c r="R273" s="537"/>
      <c r="S273" s="537"/>
      <c r="T273" s="537"/>
      <c r="U273" s="537"/>
    </row>
    <row r="274" spans="1:21" hidden="1" x14ac:dyDescent="0.2">
      <c r="A274" s="537" t="str">
        <f t="shared" si="8"/>
        <v>BLANK...</v>
      </c>
      <c r="B274" s="537" t="s">
        <v>193</v>
      </c>
      <c r="C274" s="537" t="str">
        <f t="shared" si="9"/>
        <v>..</v>
      </c>
      <c r="D274" s="537"/>
      <c r="E274" s="537"/>
      <c r="F274" s="537"/>
      <c r="G274" s="537"/>
      <c r="H274" s="537"/>
      <c r="I274" s="537"/>
      <c r="J274" s="537"/>
      <c r="K274" s="537"/>
      <c r="L274" s="537"/>
      <c r="M274" s="537"/>
      <c r="N274" s="537"/>
      <c r="O274" s="537"/>
      <c r="P274" s="537"/>
      <c r="Q274" s="537"/>
      <c r="R274" s="537"/>
      <c r="S274" s="537"/>
      <c r="T274" s="537"/>
      <c r="U274" s="537"/>
    </row>
    <row r="275" spans="1:21" hidden="1" x14ac:dyDescent="0.2">
      <c r="A275" s="537" t="str">
        <f t="shared" si="8"/>
        <v>BLANK...</v>
      </c>
      <c r="B275" s="537" t="s">
        <v>193</v>
      </c>
      <c r="C275" s="537" t="str">
        <f t="shared" si="9"/>
        <v>..</v>
      </c>
      <c r="D275" s="537"/>
      <c r="E275" s="537"/>
      <c r="F275" s="537"/>
      <c r="G275" s="537"/>
      <c r="H275" s="537"/>
      <c r="I275" s="537"/>
      <c r="J275" s="537"/>
      <c r="K275" s="537"/>
      <c r="L275" s="537"/>
      <c r="M275" s="537"/>
      <c r="N275" s="537"/>
      <c r="O275" s="537"/>
      <c r="P275" s="537"/>
      <c r="Q275" s="537"/>
      <c r="R275" s="537"/>
      <c r="S275" s="537"/>
      <c r="T275" s="537"/>
      <c r="U275" s="537"/>
    </row>
    <row r="276" spans="1:21" hidden="1" x14ac:dyDescent="0.2">
      <c r="A276" s="537" t="str">
        <f t="shared" si="8"/>
        <v>BLANK...</v>
      </c>
      <c r="B276" s="537" t="s">
        <v>193</v>
      </c>
      <c r="C276" s="537" t="str">
        <f t="shared" si="9"/>
        <v>..</v>
      </c>
      <c r="D276" s="537"/>
      <c r="E276" s="537"/>
      <c r="F276" s="537"/>
      <c r="G276" s="537"/>
      <c r="H276" s="537"/>
      <c r="I276" s="537"/>
      <c r="J276" s="537"/>
      <c r="K276" s="537"/>
      <c r="L276" s="537"/>
      <c r="M276" s="537"/>
      <c r="N276" s="537"/>
      <c r="O276" s="537"/>
      <c r="P276" s="537"/>
      <c r="Q276" s="537"/>
      <c r="R276" s="537"/>
      <c r="S276" s="537"/>
      <c r="T276" s="537"/>
      <c r="U276" s="537"/>
    </row>
    <row r="277" spans="1:21" hidden="1" x14ac:dyDescent="0.2">
      <c r="A277" s="537" t="str">
        <f t="shared" si="8"/>
        <v>BLANK...</v>
      </c>
      <c r="B277" s="537" t="s">
        <v>193</v>
      </c>
      <c r="C277" s="537" t="str">
        <f t="shared" si="9"/>
        <v>..</v>
      </c>
      <c r="D277" s="537"/>
      <c r="E277" s="537"/>
      <c r="F277" s="537"/>
      <c r="G277" s="537"/>
      <c r="H277" s="537"/>
      <c r="I277" s="537"/>
      <c r="J277" s="537"/>
      <c r="K277" s="537"/>
      <c r="L277" s="537"/>
      <c r="M277" s="537"/>
      <c r="N277" s="537"/>
      <c r="O277" s="537"/>
      <c r="P277" s="537"/>
      <c r="Q277" s="537"/>
      <c r="R277" s="537"/>
      <c r="S277" s="537"/>
      <c r="T277" s="537"/>
      <c r="U277" s="537"/>
    </row>
    <row r="278" spans="1:21" hidden="1" x14ac:dyDescent="0.2">
      <c r="A278" s="537" t="str">
        <f t="shared" si="8"/>
        <v>BLANK...</v>
      </c>
      <c r="B278" s="537" t="s">
        <v>193</v>
      </c>
      <c r="C278" s="537" t="str">
        <f t="shared" si="9"/>
        <v>..</v>
      </c>
      <c r="D278" s="537"/>
      <c r="E278" s="537"/>
      <c r="F278" s="537"/>
      <c r="G278" s="537"/>
      <c r="H278" s="537"/>
      <c r="I278" s="537"/>
      <c r="J278" s="537"/>
      <c r="K278" s="537"/>
      <c r="L278" s="537"/>
      <c r="M278" s="537"/>
      <c r="N278" s="537"/>
      <c r="O278" s="537"/>
      <c r="P278" s="537"/>
      <c r="Q278" s="537"/>
      <c r="R278" s="537"/>
      <c r="S278" s="537"/>
      <c r="T278" s="537"/>
      <c r="U278" s="537"/>
    </row>
    <row r="279" spans="1:21" hidden="1" x14ac:dyDescent="0.2">
      <c r="A279" s="537" t="str">
        <f t="shared" si="8"/>
        <v>BLANK...</v>
      </c>
      <c r="B279" s="537" t="s">
        <v>193</v>
      </c>
      <c r="C279" s="537" t="str">
        <f t="shared" si="9"/>
        <v>..</v>
      </c>
      <c r="D279" s="537"/>
      <c r="E279" s="537"/>
      <c r="F279" s="537"/>
      <c r="G279" s="537"/>
      <c r="H279" s="537"/>
      <c r="I279" s="537"/>
      <c r="J279" s="537"/>
      <c r="K279" s="537"/>
      <c r="L279" s="537"/>
      <c r="M279" s="537"/>
      <c r="N279" s="537"/>
      <c r="O279" s="537"/>
      <c r="P279" s="537"/>
      <c r="Q279" s="537"/>
      <c r="R279" s="537"/>
      <c r="S279" s="537"/>
      <c r="T279" s="537"/>
      <c r="U279" s="537"/>
    </row>
    <row r="280" spans="1:21" hidden="1" x14ac:dyDescent="0.2">
      <c r="A280" s="537" t="str">
        <f t="shared" si="8"/>
        <v>BLANK...</v>
      </c>
      <c r="B280" s="537" t="s">
        <v>193</v>
      </c>
      <c r="C280" s="537" t="str">
        <f t="shared" si="9"/>
        <v>..</v>
      </c>
      <c r="D280" s="537"/>
      <c r="E280" s="537"/>
      <c r="F280" s="537"/>
      <c r="G280" s="537"/>
      <c r="H280" s="537"/>
      <c r="I280" s="537"/>
      <c r="J280" s="537"/>
      <c r="K280" s="537"/>
      <c r="L280" s="537"/>
      <c r="M280" s="537"/>
      <c r="N280" s="537"/>
      <c r="O280" s="537"/>
      <c r="P280" s="537"/>
      <c r="Q280" s="537"/>
      <c r="R280" s="537"/>
      <c r="S280" s="537"/>
      <c r="T280" s="537"/>
      <c r="U280" s="537"/>
    </row>
    <row r="281" spans="1:21" hidden="1" x14ac:dyDescent="0.2">
      <c r="A281" s="537" t="str">
        <f t="shared" si="8"/>
        <v>BLANK...</v>
      </c>
      <c r="B281" s="537" t="s">
        <v>193</v>
      </c>
      <c r="C281" s="537" t="str">
        <f t="shared" si="9"/>
        <v>..</v>
      </c>
      <c r="D281" s="537"/>
      <c r="E281" s="537"/>
      <c r="F281" s="537"/>
      <c r="G281" s="537"/>
      <c r="H281" s="537"/>
      <c r="I281" s="537"/>
      <c r="J281" s="537"/>
      <c r="K281" s="537"/>
      <c r="L281" s="537"/>
      <c r="M281" s="537"/>
      <c r="N281" s="537"/>
      <c r="O281" s="537"/>
      <c r="P281" s="537"/>
      <c r="Q281" s="537"/>
      <c r="R281" s="537"/>
      <c r="S281" s="537"/>
      <c r="T281" s="537"/>
      <c r="U281" s="537"/>
    </row>
    <row r="282" spans="1:21" hidden="1" x14ac:dyDescent="0.2">
      <c r="A282" s="537" t="str">
        <f t="shared" si="8"/>
        <v>BLANK...</v>
      </c>
      <c r="B282" s="537" t="s">
        <v>193</v>
      </c>
      <c r="C282" s="537" t="str">
        <f t="shared" si="9"/>
        <v>..</v>
      </c>
      <c r="D282" s="537"/>
      <c r="E282" s="537"/>
      <c r="F282" s="537"/>
      <c r="G282" s="537"/>
      <c r="H282" s="537"/>
      <c r="I282" s="537"/>
      <c r="J282" s="537"/>
      <c r="K282" s="537"/>
      <c r="L282" s="537"/>
      <c r="M282" s="537"/>
      <c r="N282" s="537"/>
      <c r="O282" s="537"/>
      <c r="P282" s="537"/>
      <c r="Q282" s="537"/>
      <c r="R282" s="537"/>
      <c r="S282" s="537"/>
      <c r="T282" s="537"/>
      <c r="U282" s="537"/>
    </row>
    <row r="283" spans="1:21" hidden="1" x14ac:dyDescent="0.2">
      <c r="A283" s="537" t="str">
        <f t="shared" si="8"/>
        <v>BLANK...</v>
      </c>
      <c r="B283" s="537" t="s">
        <v>193</v>
      </c>
      <c r="C283" s="537" t="str">
        <f t="shared" si="9"/>
        <v>..</v>
      </c>
      <c r="D283" s="537"/>
      <c r="E283" s="537"/>
      <c r="F283" s="537"/>
      <c r="G283" s="537"/>
      <c r="H283" s="537"/>
      <c r="I283" s="537"/>
      <c r="J283" s="537"/>
      <c r="K283" s="537"/>
      <c r="L283" s="537"/>
      <c r="M283" s="537"/>
      <c r="N283" s="537"/>
      <c r="O283" s="537"/>
      <c r="P283" s="537"/>
      <c r="Q283" s="537"/>
      <c r="R283" s="537"/>
      <c r="S283" s="537"/>
      <c r="T283" s="537"/>
      <c r="U283" s="537"/>
    </row>
    <row r="284" spans="1:21" hidden="1" x14ac:dyDescent="0.2">
      <c r="A284" s="537" t="str">
        <f t="shared" si="8"/>
        <v>BLANK...</v>
      </c>
      <c r="B284" s="537" t="s">
        <v>193</v>
      </c>
      <c r="C284" s="537" t="str">
        <f t="shared" si="9"/>
        <v>..</v>
      </c>
      <c r="D284" s="537"/>
      <c r="E284" s="537"/>
      <c r="F284" s="537"/>
      <c r="G284" s="537"/>
      <c r="H284" s="537"/>
      <c r="I284" s="537"/>
      <c r="J284" s="537"/>
      <c r="K284" s="537"/>
      <c r="L284" s="537"/>
      <c r="M284" s="537"/>
      <c r="N284" s="537"/>
      <c r="O284" s="537"/>
      <c r="P284" s="537"/>
      <c r="Q284" s="537"/>
      <c r="R284" s="537"/>
      <c r="S284" s="537"/>
      <c r="T284" s="537"/>
      <c r="U284" s="537"/>
    </row>
    <row r="285" spans="1:21" hidden="1" x14ac:dyDescent="0.2">
      <c r="A285" s="537" t="str">
        <f t="shared" si="8"/>
        <v>BLANK...</v>
      </c>
      <c r="B285" s="537" t="s">
        <v>193</v>
      </c>
      <c r="C285" s="537" t="str">
        <f t="shared" si="9"/>
        <v>..</v>
      </c>
      <c r="D285" s="537"/>
      <c r="E285" s="537"/>
      <c r="F285" s="537"/>
      <c r="G285" s="537"/>
      <c r="H285" s="537"/>
      <c r="I285" s="537"/>
      <c r="J285" s="537"/>
      <c r="K285" s="537"/>
      <c r="L285" s="537"/>
      <c r="M285" s="537"/>
      <c r="N285" s="537"/>
      <c r="O285" s="537"/>
      <c r="P285" s="537"/>
      <c r="Q285" s="537"/>
      <c r="R285" s="537"/>
      <c r="S285" s="537"/>
      <c r="T285" s="537"/>
      <c r="U285" s="537"/>
    </row>
    <row r="286" spans="1:21" hidden="1" x14ac:dyDescent="0.2">
      <c r="A286" s="537" t="str">
        <f t="shared" si="8"/>
        <v>BLANK...</v>
      </c>
      <c r="B286" s="537" t="s">
        <v>193</v>
      </c>
      <c r="C286" s="537" t="str">
        <f t="shared" si="9"/>
        <v>..</v>
      </c>
      <c r="D286" s="537"/>
      <c r="E286" s="537"/>
      <c r="F286" s="537"/>
      <c r="G286" s="537"/>
      <c r="H286" s="537"/>
      <c r="I286" s="537"/>
      <c r="J286" s="537"/>
      <c r="K286" s="537"/>
      <c r="L286" s="537"/>
      <c r="M286" s="537"/>
      <c r="N286" s="537"/>
      <c r="O286" s="537"/>
      <c r="P286" s="537"/>
      <c r="Q286" s="537"/>
      <c r="R286" s="537"/>
      <c r="S286" s="537"/>
      <c r="T286" s="537"/>
      <c r="U286" s="537"/>
    </row>
    <row r="287" spans="1:21" hidden="1" x14ac:dyDescent="0.2">
      <c r="A287" s="537" t="str">
        <f t="shared" si="8"/>
        <v>BLANK...</v>
      </c>
      <c r="B287" s="537" t="s">
        <v>193</v>
      </c>
      <c r="C287" s="537" t="str">
        <f t="shared" si="9"/>
        <v>..</v>
      </c>
      <c r="D287" s="537"/>
      <c r="E287" s="537"/>
      <c r="F287" s="537"/>
      <c r="G287" s="537"/>
      <c r="H287" s="537"/>
      <c r="I287" s="537"/>
      <c r="J287" s="537"/>
      <c r="K287" s="537"/>
      <c r="L287" s="537"/>
      <c r="M287" s="537"/>
      <c r="N287" s="537"/>
      <c r="O287" s="537"/>
      <c r="P287" s="537"/>
      <c r="Q287" s="537"/>
      <c r="R287" s="537"/>
      <c r="S287" s="537"/>
      <c r="T287" s="537"/>
      <c r="U287" s="537"/>
    </row>
    <row r="288" spans="1:21" hidden="1" x14ac:dyDescent="0.2">
      <c r="A288" s="537" t="str">
        <f t="shared" si="8"/>
        <v>BLANK...</v>
      </c>
      <c r="B288" s="537" t="s">
        <v>193</v>
      </c>
      <c r="C288" s="537" t="str">
        <f t="shared" si="9"/>
        <v>..</v>
      </c>
      <c r="D288" s="537"/>
      <c r="E288" s="537"/>
      <c r="F288" s="537"/>
      <c r="G288" s="537"/>
      <c r="H288" s="537"/>
      <c r="I288" s="537"/>
      <c r="J288" s="537"/>
      <c r="K288" s="537"/>
      <c r="L288" s="537"/>
      <c r="M288" s="537"/>
      <c r="N288" s="537"/>
      <c r="O288" s="537"/>
      <c r="P288" s="537"/>
      <c r="Q288" s="537"/>
      <c r="R288" s="537"/>
      <c r="S288" s="537"/>
      <c r="T288" s="537"/>
      <c r="U288" s="537"/>
    </row>
    <row r="289" spans="1:21" hidden="1" x14ac:dyDescent="0.2">
      <c r="A289" s="537" t="str">
        <f t="shared" si="8"/>
        <v>BLANK...</v>
      </c>
      <c r="B289" s="537" t="s">
        <v>193</v>
      </c>
      <c r="C289" s="537" t="str">
        <f t="shared" si="9"/>
        <v>..</v>
      </c>
      <c r="D289" s="537"/>
      <c r="E289" s="537"/>
      <c r="F289" s="537"/>
      <c r="G289" s="537"/>
      <c r="H289" s="537"/>
      <c r="I289" s="537"/>
      <c r="J289" s="537"/>
      <c r="K289" s="537"/>
      <c r="L289" s="537"/>
      <c r="M289" s="537"/>
      <c r="N289" s="537"/>
      <c r="O289" s="537"/>
      <c r="P289" s="537"/>
      <c r="Q289" s="537"/>
      <c r="R289" s="537"/>
      <c r="S289" s="537"/>
      <c r="T289" s="537"/>
      <c r="U289" s="537"/>
    </row>
    <row r="290" spans="1:21" hidden="1" x14ac:dyDescent="0.2">
      <c r="A290" s="537" t="str">
        <f t="shared" si="8"/>
        <v>BLANK...</v>
      </c>
      <c r="B290" s="537" t="s">
        <v>193</v>
      </c>
      <c r="C290" s="537" t="str">
        <f t="shared" si="9"/>
        <v>..</v>
      </c>
      <c r="D290" s="537"/>
      <c r="E290" s="537"/>
      <c r="F290" s="537"/>
      <c r="G290" s="537"/>
      <c r="H290" s="537"/>
      <c r="I290" s="537"/>
      <c r="J290" s="537"/>
      <c r="K290" s="537"/>
      <c r="L290" s="537"/>
      <c r="M290" s="537"/>
      <c r="N290" s="537"/>
      <c r="O290" s="537"/>
      <c r="P290" s="537"/>
      <c r="Q290" s="537"/>
      <c r="R290" s="537"/>
      <c r="S290" s="537"/>
      <c r="T290" s="537"/>
      <c r="U290" s="537"/>
    </row>
    <row r="291" spans="1:21" hidden="1" x14ac:dyDescent="0.2">
      <c r="A291" s="537" t="str">
        <f t="shared" si="8"/>
        <v>BLANK...</v>
      </c>
      <c r="B291" s="537" t="s">
        <v>193</v>
      </c>
      <c r="C291" s="537" t="str">
        <f t="shared" si="9"/>
        <v>..</v>
      </c>
      <c r="D291" s="537"/>
      <c r="E291" s="537"/>
      <c r="F291" s="537"/>
      <c r="G291" s="537"/>
      <c r="H291" s="537"/>
      <c r="I291" s="537"/>
      <c r="J291" s="537"/>
      <c r="K291" s="537"/>
      <c r="L291" s="537"/>
      <c r="M291" s="537"/>
      <c r="N291" s="537"/>
      <c r="O291" s="537"/>
      <c r="P291" s="537"/>
      <c r="Q291" s="537"/>
      <c r="R291" s="537"/>
      <c r="S291" s="537"/>
      <c r="T291" s="537"/>
      <c r="U291" s="537"/>
    </row>
    <row r="292" spans="1:21" hidden="1" x14ac:dyDescent="0.2">
      <c r="A292" s="537" t="str">
        <f t="shared" si="8"/>
        <v>BLANK...</v>
      </c>
      <c r="B292" s="537" t="s">
        <v>193</v>
      </c>
      <c r="C292" s="537" t="str">
        <f t="shared" si="9"/>
        <v>..</v>
      </c>
      <c r="D292" s="537"/>
      <c r="E292" s="537"/>
      <c r="F292" s="537"/>
      <c r="G292" s="537"/>
      <c r="H292" s="537"/>
      <c r="I292" s="537"/>
      <c r="J292" s="537"/>
      <c r="K292" s="537"/>
      <c r="L292" s="537"/>
      <c r="M292" s="537"/>
      <c r="N292" s="537"/>
      <c r="O292" s="537"/>
      <c r="P292" s="537"/>
      <c r="Q292" s="537"/>
      <c r="R292" s="537"/>
      <c r="S292" s="537"/>
      <c r="T292" s="537"/>
      <c r="U292" s="537"/>
    </row>
    <row r="293" spans="1:21" hidden="1" x14ac:dyDescent="0.2">
      <c r="A293" s="537" t="str">
        <f t="shared" si="8"/>
        <v>BLANK...</v>
      </c>
      <c r="B293" s="537" t="s">
        <v>193</v>
      </c>
      <c r="C293" s="537" t="str">
        <f t="shared" si="9"/>
        <v>..</v>
      </c>
      <c r="D293" s="537"/>
      <c r="E293" s="537"/>
      <c r="F293" s="537"/>
      <c r="G293" s="537"/>
      <c r="H293" s="537"/>
      <c r="I293" s="537"/>
      <c r="J293" s="537"/>
      <c r="K293" s="537"/>
      <c r="L293" s="537"/>
      <c r="M293" s="537"/>
      <c r="N293" s="537"/>
      <c r="O293" s="537"/>
      <c r="P293" s="537"/>
      <c r="Q293" s="537"/>
      <c r="R293" s="537"/>
      <c r="S293" s="537"/>
      <c r="T293" s="537"/>
      <c r="U293" s="537"/>
    </row>
    <row r="294" spans="1:21" hidden="1" x14ac:dyDescent="0.2">
      <c r="A294" s="537" t="str">
        <f t="shared" si="8"/>
        <v>BLANK...</v>
      </c>
      <c r="B294" s="537" t="s">
        <v>193</v>
      </c>
      <c r="C294" s="537" t="str">
        <f t="shared" si="9"/>
        <v>..</v>
      </c>
      <c r="D294" s="537"/>
      <c r="E294" s="537"/>
      <c r="F294" s="537"/>
      <c r="G294" s="537"/>
      <c r="H294" s="537"/>
      <c r="I294" s="537"/>
      <c r="J294" s="537"/>
      <c r="K294" s="537"/>
      <c r="L294" s="537"/>
      <c r="M294" s="537"/>
      <c r="N294" s="537"/>
      <c r="O294" s="537"/>
      <c r="P294" s="537"/>
      <c r="Q294" s="537"/>
      <c r="R294" s="537"/>
      <c r="S294" s="537"/>
      <c r="T294" s="537"/>
      <c r="U294" s="537"/>
    </row>
    <row r="295" spans="1:21" hidden="1" x14ac:dyDescent="0.2">
      <c r="A295" s="537" t="str">
        <f t="shared" si="8"/>
        <v>BLANK...</v>
      </c>
      <c r="B295" s="537" t="s">
        <v>193</v>
      </c>
      <c r="C295" s="537" t="str">
        <f t="shared" si="9"/>
        <v>..</v>
      </c>
      <c r="D295" s="537"/>
      <c r="E295" s="537"/>
      <c r="F295" s="537"/>
      <c r="G295" s="537"/>
      <c r="H295" s="537"/>
      <c r="I295" s="537"/>
      <c r="J295" s="537"/>
      <c r="K295" s="537"/>
      <c r="L295" s="537"/>
      <c r="M295" s="537"/>
      <c r="N295" s="537"/>
      <c r="O295" s="537"/>
      <c r="P295" s="537"/>
      <c r="Q295" s="537"/>
      <c r="R295" s="537"/>
      <c r="S295" s="537"/>
      <c r="T295" s="537"/>
      <c r="U295" s="537"/>
    </row>
    <row r="296" spans="1:21" hidden="1" x14ac:dyDescent="0.2">
      <c r="A296" s="537" t="str">
        <f t="shared" si="8"/>
        <v>BLANK...</v>
      </c>
      <c r="B296" s="537" t="s">
        <v>193</v>
      </c>
      <c r="C296" s="537" t="str">
        <f t="shared" si="9"/>
        <v>..</v>
      </c>
      <c r="D296" s="537"/>
      <c r="E296" s="537"/>
      <c r="F296" s="537"/>
      <c r="G296" s="537"/>
      <c r="H296" s="537"/>
      <c r="I296" s="537"/>
      <c r="J296" s="537"/>
      <c r="K296" s="537"/>
      <c r="L296" s="537"/>
      <c r="M296" s="537"/>
      <c r="N296" s="537"/>
      <c r="O296" s="537"/>
      <c r="P296" s="537"/>
      <c r="Q296" s="537"/>
      <c r="R296" s="537"/>
      <c r="S296" s="537"/>
      <c r="T296" s="537"/>
      <c r="U296" s="537"/>
    </row>
    <row r="297" spans="1:21" hidden="1" x14ac:dyDescent="0.2">
      <c r="A297" s="537" t="str">
        <f t="shared" si="8"/>
        <v>BLANK...</v>
      </c>
      <c r="B297" s="537" t="s">
        <v>193</v>
      </c>
      <c r="C297" s="537" t="str">
        <f t="shared" si="9"/>
        <v>..</v>
      </c>
      <c r="D297" s="537"/>
      <c r="E297" s="537"/>
      <c r="F297" s="537"/>
      <c r="G297" s="537"/>
      <c r="H297" s="537"/>
      <c r="I297" s="537"/>
      <c r="J297" s="537"/>
      <c r="K297" s="537"/>
      <c r="L297" s="537"/>
      <c r="M297" s="537"/>
      <c r="N297" s="537"/>
      <c r="O297" s="537"/>
      <c r="P297" s="537"/>
      <c r="Q297" s="537"/>
      <c r="R297" s="537"/>
      <c r="S297" s="537"/>
      <c r="T297" s="537"/>
      <c r="U297" s="537"/>
    </row>
    <row r="298" spans="1:21" hidden="1" x14ac:dyDescent="0.2">
      <c r="A298" s="537" t="str">
        <f t="shared" si="8"/>
        <v>BLANK...</v>
      </c>
      <c r="B298" s="537" t="s">
        <v>193</v>
      </c>
      <c r="C298" s="537" t="str">
        <f t="shared" si="9"/>
        <v>..</v>
      </c>
      <c r="D298" s="537"/>
      <c r="E298" s="537"/>
      <c r="F298" s="537"/>
      <c r="G298" s="537"/>
      <c r="H298" s="537"/>
      <c r="I298" s="537"/>
      <c r="J298" s="537"/>
      <c r="K298" s="537"/>
      <c r="L298" s="537"/>
      <c r="M298" s="537"/>
      <c r="N298" s="537"/>
      <c r="O298" s="537"/>
      <c r="P298" s="537"/>
      <c r="Q298" s="537"/>
      <c r="R298" s="537"/>
      <c r="S298" s="537"/>
      <c r="T298" s="537"/>
      <c r="U298" s="537"/>
    </row>
    <row r="299" spans="1:21" hidden="1" x14ac:dyDescent="0.2">
      <c r="A299" s="537" t="str">
        <f t="shared" si="8"/>
        <v>BLANK...</v>
      </c>
      <c r="B299" s="537" t="s">
        <v>193</v>
      </c>
      <c r="C299" s="537" t="str">
        <f t="shared" si="9"/>
        <v>..</v>
      </c>
      <c r="D299" s="537"/>
      <c r="E299" s="537"/>
      <c r="F299" s="537"/>
      <c r="G299" s="537"/>
      <c r="H299" s="537"/>
      <c r="I299" s="537"/>
      <c r="J299" s="537"/>
      <c r="K299" s="537"/>
      <c r="L299" s="537"/>
      <c r="M299" s="537"/>
      <c r="N299" s="537"/>
      <c r="O299" s="537"/>
      <c r="P299" s="537"/>
      <c r="Q299" s="537"/>
      <c r="R299" s="537"/>
      <c r="S299" s="537"/>
      <c r="T299" s="537"/>
      <c r="U299" s="537"/>
    </row>
    <row r="300" spans="1:21" hidden="1" x14ac:dyDescent="0.2">
      <c r="A300" s="537" t="str">
        <f t="shared" si="8"/>
        <v>BLANK...</v>
      </c>
      <c r="B300" s="537" t="s">
        <v>193</v>
      </c>
      <c r="C300" s="537" t="str">
        <f t="shared" si="9"/>
        <v>..</v>
      </c>
      <c r="D300" s="537"/>
      <c r="E300" s="537"/>
      <c r="F300" s="537"/>
      <c r="G300" s="537"/>
      <c r="H300" s="537"/>
      <c r="I300" s="537"/>
      <c r="J300" s="537"/>
      <c r="K300" s="537"/>
      <c r="L300" s="537"/>
      <c r="M300" s="537"/>
      <c r="N300" s="537"/>
      <c r="O300" s="537"/>
      <c r="P300" s="537"/>
      <c r="Q300" s="537"/>
      <c r="R300" s="537"/>
      <c r="S300" s="537"/>
      <c r="T300" s="537"/>
      <c r="U300" s="537"/>
    </row>
    <row r="301" spans="1:21" hidden="1" x14ac:dyDescent="0.2">
      <c r="A301" s="537" t="str">
        <f t="shared" si="8"/>
        <v>BLANK...</v>
      </c>
      <c r="B301" s="537" t="s">
        <v>193</v>
      </c>
      <c r="C301" s="537" t="str">
        <f t="shared" si="9"/>
        <v>..</v>
      </c>
      <c r="D301" s="537"/>
      <c r="E301" s="537"/>
      <c r="F301" s="537"/>
      <c r="G301" s="537"/>
      <c r="H301" s="537"/>
      <c r="I301" s="537"/>
      <c r="J301" s="537"/>
      <c r="K301" s="537"/>
      <c r="L301" s="537"/>
      <c r="M301" s="537"/>
      <c r="N301" s="537"/>
      <c r="O301" s="537"/>
      <c r="P301" s="537"/>
      <c r="Q301" s="537"/>
      <c r="R301" s="537"/>
      <c r="S301" s="537"/>
      <c r="T301" s="537"/>
      <c r="U301" s="537"/>
    </row>
    <row r="302" spans="1:21" hidden="1" x14ac:dyDescent="0.2">
      <c r="A302" s="537" t="str">
        <f t="shared" si="8"/>
        <v>BLANK...</v>
      </c>
      <c r="B302" s="537" t="s">
        <v>193</v>
      </c>
      <c r="C302" s="537" t="str">
        <f t="shared" si="9"/>
        <v>..</v>
      </c>
      <c r="D302" s="537"/>
      <c r="E302" s="537"/>
      <c r="F302" s="537"/>
      <c r="G302" s="537"/>
      <c r="H302" s="537"/>
      <c r="I302" s="537"/>
      <c r="J302" s="537"/>
      <c r="K302" s="537"/>
      <c r="L302" s="537"/>
      <c r="M302" s="537"/>
      <c r="N302" s="537"/>
      <c r="O302" s="537"/>
      <c r="P302" s="537"/>
      <c r="Q302" s="537"/>
      <c r="R302" s="537"/>
      <c r="S302" s="537"/>
      <c r="T302" s="537"/>
      <c r="U302" s="537"/>
    </row>
    <row r="303" spans="1:21" hidden="1" x14ac:dyDescent="0.2">
      <c r="A303" s="537" t="str">
        <f t="shared" si="8"/>
        <v>BLANK...</v>
      </c>
      <c r="B303" s="537" t="s">
        <v>193</v>
      </c>
      <c r="C303" s="537" t="str">
        <f t="shared" si="9"/>
        <v>..</v>
      </c>
      <c r="D303" s="537"/>
      <c r="E303" s="537"/>
      <c r="F303" s="537"/>
      <c r="G303" s="537"/>
      <c r="H303" s="537"/>
      <c r="I303" s="537"/>
      <c r="J303" s="537"/>
      <c r="K303" s="537"/>
      <c r="L303" s="537"/>
      <c r="M303" s="537"/>
      <c r="N303" s="537"/>
      <c r="O303" s="537"/>
      <c r="P303" s="537"/>
      <c r="Q303" s="537"/>
      <c r="R303" s="537"/>
      <c r="S303" s="537"/>
      <c r="T303" s="537"/>
      <c r="U303" s="537"/>
    </row>
    <row r="304" spans="1:21" hidden="1" x14ac:dyDescent="0.2">
      <c r="A304" s="537" t="str">
        <f t="shared" si="8"/>
        <v>BLANK...</v>
      </c>
      <c r="B304" s="537" t="s">
        <v>193</v>
      </c>
      <c r="C304" s="537" t="str">
        <f t="shared" si="9"/>
        <v>..</v>
      </c>
      <c r="D304" s="537"/>
      <c r="E304" s="537"/>
      <c r="F304" s="537"/>
      <c r="G304" s="537"/>
      <c r="H304" s="537"/>
      <c r="I304" s="537"/>
      <c r="J304" s="537"/>
      <c r="K304" s="537"/>
      <c r="L304" s="537"/>
      <c r="M304" s="537"/>
      <c r="N304" s="537"/>
      <c r="O304" s="537"/>
      <c r="P304" s="537"/>
      <c r="Q304" s="537"/>
      <c r="R304" s="537"/>
      <c r="S304" s="537"/>
      <c r="T304" s="537"/>
      <c r="U304" s="537"/>
    </row>
    <row r="305" spans="1:21" hidden="1" x14ac:dyDescent="0.2">
      <c r="A305" s="537" t="str">
        <f t="shared" si="8"/>
        <v>BLANK...</v>
      </c>
      <c r="B305" s="537" t="s">
        <v>193</v>
      </c>
      <c r="C305" s="537" t="str">
        <f t="shared" si="9"/>
        <v>..</v>
      </c>
      <c r="D305" s="537"/>
      <c r="E305" s="537"/>
      <c r="F305" s="537"/>
      <c r="G305" s="537"/>
      <c r="H305" s="537"/>
      <c r="I305" s="537"/>
      <c r="J305" s="537"/>
      <c r="K305" s="537"/>
      <c r="L305" s="537"/>
      <c r="M305" s="537"/>
      <c r="N305" s="537"/>
      <c r="O305" s="537"/>
      <c r="P305" s="537"/>
      <c r="Q305" s="537"/>
      <c r="R305" s="537"/>
      <c r="S305" s="537"/>
      <c r="T305" s="537"/>
      <c r="U305" s="537"/>
    </row>
    <row r="306" spans="1:21" hidden="1" x14ac:dyDescent="0.2">
      <c r="A306" s="537" t="str">
        <f t="shared" si="8"/>
        <v>BLANK...</v>
      </c>
      <c r="B306" s="537" t="s">
        <v>193</v>
      </c>
      <c r="C306" s="537" t="str">
        <f t="shared" si="9"/>
        <v>..</v>
      </c>
      <c r="D306" s="537"/>
      <c r="E306" s="537"/>
      <c r="F306" s="537"/>
      <c r="G306" s="537"/>
      <c r="H306" s="537"/>
      <c r="I306" s="537"/>
      <c r="J306" s="537"/>
      <c r="K306" s="537"/>
      <c r="L306" s="537"/>
      <c r="M306" s="537"/>
      <c r="N306" s="537"/>
      <c r="O306" s="537"/>
      <c r="P306" s="537"/>
      <c r="Q306" s="537"/>
      <c r="R306" s="537"/>
      <c r="S306" s="537"/>
      <c r="T306" s="537"/>
      <c r="U306" s="537"/>
    </row>
    <row r="307" spans="1:21" hidden="1" x14ac:dyDescent="0.2">
      <c r="A307" s="537" t="str">
        <f t="shared" si="8"/>
        <v>BLANK...</v>
      </c>
      <c r="B307" s="537" t="s">
        <v>193</v>
      </c>
      <c r="C307" s="537" t="str">
        <f t="shared" si="9"/>
        <v>..</v>
      </c>
      <c r="D307" s="537"/>
      <c r="E307" s="537"/>
      <c r="F307" s="537"/>
      <c r="G307" s="537"/>
      <c r="H307" s="537"/>
      <c r="I307" s="537"/>
      <c r="J307" s="537"/>
      <c r="K307" s="537"/>
      <c r="L307" s="537"/>
      <c r="M307" s="537"/>
      <c r="N307" s="537"/>
      <c r="O307" s="537"/>
      <c r="P307" s="537"/>
      <c r="Q307" s="537"/>
      <c r="R307" s="537"/>
      <c r="S307" s="537"/>
      <c r="T307" s="537"/>
      <c r="U307" s="537"/>
    </row>
    <row r="308" spans="1:21" hidden="1" x14ac:dyDescent="0.2">
      <c r="A308" s="537" t="str">
        <f t="shared" si="8"/>
        <v>BLANK...</v>
      </c>
      <c r="B308" s="537" t="s">
        <v>193</v>
      </c>
      <c r="C308" s="537" t="str">
        <f t="shared" si="9"/>
        <v>..</v>
      </c>
      <c r="D308" s="537"/>
      <c r="E308" s="537"/>
      <c r="F308" s="537"/>
      <c r="G308" s="537"/>
      <c r="H308" s="537"/>
      <c r="I308" s="537"/>
      <c r="J308" s="537"/>
      <c r="K308" s="537"/>
      <c r="L308" s="537"/>
      <c r="M308" s="537"/>
      <c r="N308" s="537"/>
      <c r="O308" s="537"/>
      <c r="P308" s="537"/>
      <c r="Q308" s="537"/>
      <c r="R308" s="537"/>
      <c r="S308" s="537"/>
      <c r="T308" s="537"/>
      <c r="U308" s="537"/>
    </row>
    <row r="309" spans="1:21" hidden="1" x14ac:dyDescent="0.2">
      <c r="A309" s="537" t="str">
        <f t="shared" si="8"/>
        <v>BLANK...</v>
      </c>
      <c r="B309" s="537" t="s">
        <v>193</v>
      </c>
      <c r="C309" s="537" t="str">
        <f t="shared" si="9"/>
        <v>..</v>
      </c>
      <c r="D309" s="537"/>
      <c r="E309" s="537"/>
      <c r="F309" s="537"/>
      <c r="G309" s="537"/>
      <c r="H309" s="537"/>
      <c r="I309" s="537"/>
      <c r="J309" s="537"/>
      <c r="K309" s="537"/>
      <c r="L309" s="537"/>
      <c r="M309" s="537"/>
      <c r="N309" s="537"/>
      <c r="O309" s="537"/>
      <c r="P309" s="537"/>
      <c r="Q309" s="537"/>
      <c r="R309" s="537"/>
      <c r="S309" s="537"/>
      <c r="T309" s="537"/>
      <c r="U309" s="537"/>
    </row>
    <row r="310" spans="1:21" hidden="1" x14ac:dyDescent="0.2">
      <c r="A310" s="537" t="str">
        <f t="shared" si="8"/>
        <v>BLANK...</v>
      </c>
      <c r="B310" s="537" t="s">
        <v>193</v>
      </c>
      <c r="C310" s="537" t="str">
        <f t="shared" si="9"/>
        <v>..</v>
      </c>
      <c r="D310" s="537"/>
      <c r="E310" s="537"/>
      <c r="F310" s="537"/>
      <c r="G310" s="537"/>
      <c r="H310" s="537"/>
      <c r="I310" s="537"/>
      <c r="J310" s="537"/>
      <c r="K310" s="537"/>
      <c r="L310" s="537"/>
      <c r="M310" s="537"/>
      <c r="N310" s="537"/>
      <c r="O310" s="537"/>
      <c r="P310" s="537"/>
      <c r="Q310" s="537"/>
      <c r="R310" s="537"/>
      <c r="S310" s="537"/>
      <c r="T310" s="537"/>
      <c r="U310" s="537"/>
    </row>
    <row r="311" spans="1:21" hidden="1" x14ac:dyDescent="0.2">
      <c r="A311" s="537" t="str">
        <f t="shared" si="8"/>
        <v>BLANK...</v>
      </c>
      <c r="B311" s="537" t="s">
        <v>193</v>
      </c>
      <c r="C311" s="537" t="str">
        <f t="shared" si="9"/>
        <v>..</v>
      </c>
      <c r="D311" s="537"/>
      <c r="E311" s="537"/>
      <c r="F311" s="537"/>
      <c r="G311" s="537"/>
      <c r="H311" s="537"/>
      <c r="I311" s="537"/>
      <c r="J311" s="537"/>
      <c r="K311" s="537"/>
      <c r="L311" s="537"/>
      <c r="M311" s="537"/>
      <c r="N311" s="537"/>
      <c r="O311" s="537"/>
      <c r="P311" s="537"/>
      <c r="Q311" s="537"/>
      <c r="R311" s="537"/>
      <c r="S311" s="537"/>
      <c r="T311" s="537"/>
      <c r="U311" s="537"/>
    </row>
    <row r="312" spans="1:21" hidden="1" x14ac:dyDescent="0.2">
      <c r="A312" s="537" t="str">
        <f t="shared" si="8"/>
        <v>BLANK...</v>
      </c>
      <c r="B312" s="537" t="s">
        <v>193</v>
      </c>
      <c r="C312" s="537" t="str">
        <f t="shared" si="9"/>
        <v>..</v>
      </c>
      <c r="D312" s="537"/>
      <c r="E312" s="537"/>
      <c r="F312" s="537"/>
      <c r="G312" s="537"/>
      <c r="H312" s="537"/>
      <c r="I312" s="537"/>
      <c r="J312" s="537"/>
      <c r="K312" s="537"/>
      <c r="L312" s="537"/>
      <c r="M312" s="537"/>
      <c r="N312" s="537"/>
      <c r="O312" s="537"/>
      <c r="P312" s="537"/>
      <c r="Q312" s="537"/>
      <c r="R312" s="537"/>
      <c r="S312" s="537"/>
      <c r="T312" s="537"/>
      <c r="U312" s="537"/>
    </row>
    <row r="313" spans="1:21" hidden="1" x14ac:dyDescent="0.2">
      <c r="A313" s="537" t="str">
        <f t="shared" si="8"/>
        <v>BLANK...</v>
      </c>
      <c r="B313" s="537" t="s">
        <v>193</v>
      </c>
      <c r="C313" s="537" t="str">
        <f t="shared" si="9"/>
        <v>..</v>
      </c>
      <c r="D313" s="537"/>
      <c r="E313" s="537"/>
      <c r="F313" s="537"/>
      <c r="G313" s="537"/>
      <c r="H313" s="537"/>
      <c r="I313" s="537"/>
      <c r="J313" s="537"/>
      <c r="K313" s="537"/>
      <c r="L313" s="537"/>
      <c r="M313" s="537"/>
      <c r="N313" s="537"/>
      <c r="O313" s="537"/>
      <c r="P313" s="537"/>
      <c r="Q313" s="537"/>
      <c r="R313" s="537"/>
      <c r="S313" s="537"/>
      <c r="T313" s="537"/>
      <c r="U313" s="537"/>
    </row>
    <row r="314" spans="1:21" hidden="1" x14ac:dyDescent="0.2">
      <c r="A314" s="537" t="str">
        <f t="shared" si="8"/>
        <v>BLANK...</v>
      </c>
      <c r="B314" s="537" t="s">
        <v>193</v>
      </c>
      <c r="C314" s="537" t="str">
        <f t="shared" si="9"/>
        <v>..</v>
      </c>
      <c r="D314" s="537"/>
      <c r="E314" s="537"/>
      <c r="F314" s="537"/>
      <c r="G314" s="537"/>
      <c r="H314" s="537"/>
      <c r="I314" s="537"/>
      <c r="J314" s="537"/>
      <c r="K314" s="537"/>
      <c r="L314" s="537"/>
      <c r="M314" s="537"/>
      <c r="N314" s="537"/>
      <c r="O314" s="537"/>
      <c r="P314" s="537"/>
      <c r="Q314" s="537"/>
      <c r="R314" s="537"/>
      <c r="S314" s="537"/>
      <c r="T314" s="537"/>
      <c r="U314" s="537"/>
    </row>
    <row r="315" spans="1:21" hidden="1" x14ac:dyDescent="0.2">
      <c r="A315" s="537" t="str">
        <f t="shared" si="8"/>
        <v>BLANK...</v>
      </c>
      <c r="B315" s="537" t="s">
        <v>193</v>
      </c>
      <c r="C315" s="537" t="str">
        <f t="shared" si="9"/>
        <v>..</v>
      </c>
      <c r="D315" s="537"/>
      <c r="E315" s="537"/>
      <c r="F315" s="537"/>
      <c r="G315" s="537"/>
      <c r="H315" s="537"/>
      <c r="I315" s="537"/>
      <c r="J315" s="537"/>
      <c r="K315" s="537"/>
      <c r="L315" s="537"/>
      <c r="M315" s="537"/>
      <c r="N315" s="537"/>
      <c r="O315" s="537"/>
      <c r="P315" s="537"/>
      <c r="Q315" s="537"/>
      <c r="R315" s="537"/>
      <c r="S315" s="537"/>
      <c r="T315" s="537"/>
      <c r="U315" s="537"/>
    </row>
    <row r="316" spans="1:21" hidden="1" x14ac:dyDescent="0.2">
      <c r="A316" s="537" t="str">
        <f t="shared" si="8"/>
        <v>BLANK...</v>
      </c>
      <c r="B316" s="537" t="s">
        <v>193</v>
      </c>
      <c r="C316" s="537" t="str">
        <f t="shared" si="9"/>
        <v>..</v>
      </c>
      <c r="D316" s="537"/>
      <c r="E316" s="537"/>
      <c r="F316" s="537"/>
      <c r="G316" s="537"/>
      <c r="H316" s="537"/>
      <c r="I316" s="537"/>
      <c r="J316" s="537"/>
      <c r="K316" s="537"/>
      <c r="L316" s="537"/>
      <c r="M316" s="537"/>
      <c r="N316" s="537"/>
      <c r="O316" s="537"/>
      <c r="P316" s="537"/>
      <c r="Q316" s="537"/>
      <c r="R316" s="537"/>
      <c r="S316" s="537"/>
      <c r="T316" s="537"/>
      <c r="U316" s="537"/>
    </row>
    <row r="317" spans="1:21" hidden="1" x14ac:dyDescent="0.2">
      <c r="A317" s="537" t="str">
        <f t="shared" si="8"/>
        <v>BLANK...</v>
      </c>
      <c r="B317" s="537" t="s">
        <v>193</v>
      </c>
      <c r="C317" s="537" t="str">
        <f t="shared" si="9"/>
        <v>..</v>
      </c>
      <c r="D317" s="537"/>
      <c r="E317" s="537"/>
      <c r="F317" s="537"/>
      <c r="G317" s="537"/>
      <c r="H317" s="537"/>
      <c r="I317" s="537"/>
      <c r="J317" s="537"/>
      <c r="K317" s="537"/>
      <c r="L317" s="537"/>
      <c r="M317" s="537"/>
      <c r="N317" s="537"/>
      <c r="O317" s="537"/>
      <c r="P317" s="537"/>
      <c r="Q317" s="537"/>
      <c r="R317" s="537"/>
      <c r="S317" s="537"/>
      <c r="T317" s="537"/>
      <c r="U317" s="537"/>
    </row>
    <row r="318" spans="1:21" hidden="1" x14ac:dyDescent="0.2">
      <c r="A318" s="537" t="str">
        <f t="shared" si="8"/>
        <v>BLANK...</v>
      </c>
      <c r="B318" s="537" t="s">
        <v>193</v>
      </c>
      <c r="C318" s="537" t="str">
        <f t="shared" si="9"/>
        <v>..</v>
      </c>
      <c r="D318" s="537"/>
      <c r="E318" s="537"/>
      <c r="F318" s="537"/>
      <c r="G318" s="537"/>
      <c r="H318" s="537"/>
      <c r="I318" s="537"/>
      <c r="J318" s="537"/>
      <c r="K318" s="537"/>
      <c r="L318" s="537"/>
      <c r="M318" s="537"/>
      <c r="N318" s="537"/>
      <c r="O318" s="537"/>
      <c r="P318" s="537"/>
      <c r="Q318" s="537"/>
      <c r="R318" s="537"/>
      <c r="S318" s="537"/>
      <c r="T318" s="537"/>
      <c r="U318" s="537"/>
    </row>
    <row r="319" spans="1:21" hidden="1" x14ac:dyDescent="0.2">
      <c r="A319" s="537" t="str">
        <f t="shared" si="8"/>
        <v>BLANK...</v>
      </c>
      <c r="B319" s="537" t="s">
        <v>193</v>
      </c>
      <c r="C319" s="537" t="str">
        <f t="shared" si="9"/>
        <v>..</v>
      </c>
      <c r="D319" s="537"/>
      <c r="E319" s="537"/>
      <c r="F319" s="537"/>
      <c r="G319" s="537"/>
      <c r="H319" s="537"/>
      <c r="I319" s="537"/>
      <c r="J319" s="537"/>
      <c r="K319" s="537"/>
      <c r="L319" s="537"/>
      <c r="M319" s="537"/>
      <c r="N319" s="537"/>
      <c r="O319" s="537"/>
      <c r="P319" s="537"/>
      <c r="Q319" s="537"/>
      <c r="R319" s="537"/>
      <c r="S319" s="537"/>
      <c r="T319" s="537"/>
      <c r="U319" s="537"/>
    </row>
    <row r="320" spans="1:21" hidden="1" x14ac:dyDescent="0.2">
      <c r="A320" s="537" t="str">
        <f t="shared" si="8"/>
        <v>BLANK...</v>
      </c>
      <c r="B320" s="537" t="s">
        <v>193</v>
      </c>
      <c r="C320" s="537" t="str">
        <f t="shared" si="9"/>
        <v>..</v>
      </c>
      <c r="D320" s="537"/>
      <c r="E320" s="537"/>
      <c r="F320" s="537"/>
      <c r="G320" s="537"/>
      <c r="H320" s="537"/>
      <c r="I320" s="537"/>
      <c r="J320" s="537"/>
      <c r="K320" s="537"/>
      <c r="L320" s="537"/>
      <c r="M320" s="537"/>
      <c r="N320" s="537"/>
      <c r="O320" s="537"/>
      <c r="P320" s="537"/>
      <c r="Q320" s="537"/>
      <c r="R320" s="537"/>
      <c r="S320" s="537"/>
      <c r="T320" s="537"/>
      <c r="U320" s="537"/>
    </row>
    <row r="321" spans="1:21" hidden="1" x14ac:dyDescent="0.2">
      <c r="A321" s="537" t="str">
        <f t="shared" si="8"/>
        <v>BLANK...</v>
      </c>
      <c r="B321" s="537" t="s">
        <v>193</v>
      </c>
      <c r="C321" s="537" t="str">
        <f t="shared" si="9"/>
        <v>..</v>
      </c>
      <c r="D321" s="537"/>
      <c r="E321" s="537"/>
      <c r="F321" s="537"/>
      <c r="G321" s="537"/>
      <c r="H321" s="537"/>
      <c r="I321" s="537"/>
      <c r="J321" s="537"/>
      <c r="K321" s="537"/>
      <c r="L321" s="537"/>
      <c r="M321" s="537"/>
      <c r="N321" s="537"/>
      <c r="O321" s="537"/>
      <c r="P321" s="537"/>
      <c r="Q321" s="537"/>
      <c r="R321" s="537"/>
      <c r="S321" s="537"/>
      <c r="T321" s="537"/>
      <c r="U321" s="537"/>
    </row>
    <row r="322" spans="1:21" hidden="1" x14ac:dyDescent="0.2">
      <c r="A322" s="537" t="str">
        <f t="shared" si="8"/>
        <v>BLANK...</v>
      </c>
      <c r="B322" s="537" t="s">
        <v>193</v>
      </c>
      <c r="C322" s="537" t="str">
        <f t="shared" si="9"/>
        <v>..</v>
      </c>
      <c r="D322" s="537"/>
      <c r="E322" s="537"/>
      <c r="F322" s="537"/>
      <c r="G322" s="537"/>
      <c r="H322" s="537"/>
      <c r="I322" s="537"/>
      <c r="J322" s="537"/>
      <c r="K322" s="537"/>
      <c r="L322" s="537"/>
      <c r="M322" s="537"/>
      <c r="N322" s="537"/>
      <c r="O322" s="537"/>
      <c r="P322" s="537"/>
      <c r="Q322" s="537"/>
      <c r="R322" s="537"/>
      <c r="S322" s="537"/>
      <c r="T322" s="537"/>
      <c r="U322" s="537"/>
    </row>
    <row r="323" spans="1:21" hidden="1" x14ac:dyDescent="0.2">
      <c r="A323" s="537" t="str">
        <f t="shared" si="8"/>
        <v>BLANK...</v>
      </c>
      <c r="B323" s="537" t="s">
        <v>193</v>
      </c>
      <c r="C323" s="537" t="str">
        <f t="shared" si="9"/>
        <v>..</v>
      </c>
      <c r="D323" s="537"/>
      <c r="E323" s="537"/>
      <c r="F323" s="537"/>
      <c r="G323" s="537"/>
      <c r="H323" s="537"/>
      <c r="I323" s="537"/>
      <c r="J323" s="537"/>
      <c r="K323" s="537"/>
      <c r="L323" s="537"/>
      <c r="M323" s="537"/>
      <c r="N323" s="537"/>
      <c r="O323" s="537"/>
      <c r="P323" s="537"/>
      <c r="Q323" s="537"/>
      <c r="R323" s="537"/>
      <c r="S323" s="537"/>
      <c r="T323" s="537"/>
      <c r="U323" s="537"/>
    </row>
    <row r="324" spans="1:21" hidden="1" x14ac:dyDescent="0.2">
      <c r="A324" s="537" t="str">
        <f t="shared" si="8"/>
        <v>BLANK...</v>
      </c>
      <c r="B324" s="537" t="s">
        <v>193</v>
      </c>
      <c r="C324" s="537" t="str">
        <f t="shared" si="9"/>
        <v>..</v>
      </c>
      <c r="D324" s="537"/>
      <c r="E324" s="537"/>
      <c r="F324" s="537"/>
      <c r="G324" s="537"/>
      <c r="H324" s="537"/>
      <c r="I324" s="537"/>
      <c r="J324" s="537"/>
      <c r="K324" s="537"/>
      <c r="L324" s="537"/>
      <c r="M324" s="537"/>
      <c r="N324" s="537"/>
      <c r="O324" s="537"/>
      <c r="P324" s="537"/>
      <c r="Q324" s="537"/>
      <c r="R324" s="537"/>
      <c r="S324" s="537"/>
      <c r="T324" s="537"/>
      <c r="U324" s="537"/>
    </row>
    <row r="325" spans="1:21" hidden="1" x14ac:dyDescent="0.2">
      <c r="A325" s="537" t="str">
        <f t="shared" si="8"/>
        <v>BLANK...</v>
      </c>
      <c r="B325" s="537" t="s">
        <v>193</v>
      </c>
      <c r="C325" s="537" t="str">
        <f t="shared" si="9"/>
        <v>..</v>
      </c>
      <c r="D325" s="537"/>
      <c r="E325" s="537"/>
      <c r="F325" s="537"/>
      <c r="G325" s="537"/>
      <c r="H325" s="537"/>
      <c r="I325" s="537"/>
      <c r="J325" s="537"/>
      <c r="K325" s="537"/>
      <c r="L325" s="537"/>
      <c r="M325" s="537"/>
      <c r="N325" s="537"/>
      <c r="O325" s="537"/>
      <c r="P325" s="537"/>
      <c r="Q325" s="537"/>
      <c r="R325" s="537"/>
      <c r="S325" s="537"/>
      <c r="T325" s="537"/>
      <c r="U325" s="537"/>
    </row>
    <row r="326" spans="1:21" hidden="1" x14ac:dyDescent="0.2">
      <c r="A326" s="537" t="str">
        <f t="shared" si="8"/>
        <v>BLANK...</v>
      </c>
      <c r="B326" s="537" t="s">
        <v>193</v>
      </c>
      <c r="C326" s="537" t="str">
        <f t="shared" si="9"/>
        <v>..</v>
      </c>
      <c r="D326" s="537"/>
      <c r="E326" s="537"/>
      <c r="F326" s="537"/>
      <c r="G326" s="537"/>
      <c r="H326" s="537"/>
      <c r="I326" s="537"/>
      <c r="J326" s="537"/>
      <c r="K326" s="537"/>
      <c r="L326" s="537"/>
      <c r="M326" s="537"/>
      <c r="N326" s="537"/>
      <c r="O326" s="537"/>
      <c r="P326" s="537"/>
      <c r="Q326" s="537"/>
      <c r="R326" s="537"/>
      <c r="S326" s="537"/>
      <c r="T326" s="537"/>
      <c r="U326" s="537"/>
    </row>
    <row r="327" spans="1:21" hidden="1" x14ac:dyDescent="0.2">
      <c r="A327" s="537" t="str">
        <f t="shared" si="8"/>
        <v>BLANK...</v>
      </c>
      <c r="B327" s="537" t="s">
        <v>193</v>
      </c>
      <c r="C327" s="537" t="str">
        <f t="shared" si="9"/>
        <v>..</v>
      </c>
      <c r="D327" s="537"/>
      <c r="E327" s="537"/>
      <c r="F327" s="537"/>
      <c r="G327" s="537"/>
      <c r="H327" s="537"/>
      <c r="I327" s="537"/>
      <c r="J327" s="537"/>
      <c r="K327" s="537"/>
      <c r="L327" s="537"/>
      <c r="M327" s="537"/>
      <c r="N327" s="537"/>
      <c r="O327" s="537"/>
      <c r="P327" s="537"/>
      <c r="Q327" s="537"/>
      <c r="R327" s="537"/>
      <c r="S327" s="537"/>
      <c r="T327" s="537"/>
      <c r="U327" s="537"/>
    </row>
    <row r="328" spans="1:21" hidden="1" x14ac:dyDescent="0.2">
      <c r="A328" s="537" t="str">
        <f t="shared" si="8"/>
        <v>BLANK...</v>
      </c>
      <c r="B328" s="537" t="s">
        <v>193</v>
      </c>
      <c r="C328" s="537" t="str">
        <f t="shared" si="9"/>
        <v>..</v>
      </c>
      <c r="D328" s="537"/>
      <c r="E328" s="537"/>
      <c r="F328" s="537"/>
      <c r="G328" s="537"/>
      <c r="H328" s="537"/>
      <c r="I328" s="537"/>
      <c r="J328" s="537"/>
      <c r="K328" s="537"/>
      <c r="L328" s="537"/>
      <c r="M328" s="537"/>
      <c r="N328" s="537"/>
      <c r="O328" s="537"/>
      <c r="P328" s="537"/>
      <c r="Q328" s="537"/>
      <c r="R328" s="537"/>
      <c r="S328" s="537"/>
      <c r="T328" s="537"/>
      <c r="U328" s="537"/>
    </row>
    <row r="329" spans="1:21" hidden="1" x14ac:dyDescent="0.2">
      <c r="A329" s="537" t="str">
        <f t="shared" ref="A329:A392" si="10">B329&amp;"."&amp;D329&amp;"."&amp;E329&amp;"."&amp;F329</f>
        <v>BLANK...</v>
      </c>
      <c r="B329" s="537" t="s">
        <v>193</v>
      </c>
      <c r="C329" s="537" t="str">
        <f t="shared" ref="C329:C392" si="11">D329&amp;"."&amp;E329&amp;"."&amp;F329</f>
        <v>..</v>
      </c>
      <c r="D329" s="537"/>
      <c r="E329" s="537"/>
      <c r="F329" s="537"/>
      <c r="G329" s="537"/>
      <c r="H329" s="537"/>
      <c r="I329" s="537"/>
      <c r="J329" s="537"/>
      <c r="K329" s="537"/>
      <c r="L329" s="537"/>
      <c r="M329" s="537"/>
      <c r="N329" s="537"/>
      <c r="O329" s="537"/>
      <c r="P329" s="537"/>
      <c r="Q329" s="537"/>
      <c r="R329" s="537"/>
      <c r="S329" s="537"/>
      <c r="T329" s="537"/>
      <c r="U329" s="537"/>
    </row>
    <row r="330" spans="1:21" hidden="1" x14ac:dyDescent="0.2">
      <c r="A330" s="537" t="str">
        <f t="shared" si="10"/>
        <v>BLANK...</v>
      </c>
      <c r="B330" s="537" t="s">
        <v>193</v>
      </c>
      <c r="C330" s="537" t="str">
        <f t="shared" si="11"/>
        <v>..</v>
      </c>
      <c r="D330" s="537"/>
      <c r="E330" s="537"/>
      <c r="F330" s="537"/>
      <c r="G330" s="537"/>
      <c r="H330" s="537"/>
      <c r="I330" s="537"/>
      <c r="J330" s="537"/>
      <c r="K330" s="537"/>
      <c r="L330" s="537"/>
      <c r="M330" s="537"/>
      <c r="N330" s="537"/>
      <c r="O330" s="537"/>
      <c r="P330" s="537"/>
      <c r="Q330" s="537"/>
      <c r="R330" s="537"/>
      <c r="S330" s="537"/>
      <c r="T330" s="537"/>
      <c r="U330" s="537"/>
    </row>
    <row r="331" spans="1:21" hidden="1" x14ac:dyDescent="0.2">
      <c r="A331" s="537" t="str">
        <f t="shared" si="10"/>
        <v>BLANK...</v>
      </c>
      <c r="B331" s="537" t="s">
        <v>193</v>
      </c>
      <c r="C331" s="537" t="str">
        <f t="shared" si="11"/>
        <v>..</v>
      </c>
      <c r="D331" s="537"/>
      <c r="E331" s="537"/>
      <c r="F331" s="537"/>
      <c r="G331" s="537"/>
      <c r="H331" s="537"/>
      <c r="I331" s="537"/>
      <c r="J331" s="537"/>
      <c r="K331" s="537"/>
      <c r="L331" s="537"/>
      <c r="M331" s="537"/>
      <c r="N331" s="537"/>
      <c r="O331" s="537"/>
      <c r="P331" s="537"/>
      <c r="Q331" s="537"/>
      <c r="R331" s="537"/>
      <c r="S331" s="537"/>
      <c r="T331" s="537"/>
      <c r="U331" s="537"/>
    </row>
    <row r="332" spans="1:21" hidden="1" x14ac:dyDescent="0.2">
      <c r="A332" s="537" t="str">
        <f t="shared" si="10"/>
        <v>BLANK...</v>
      </c>
      <c r="B332" s="537" t="s">
        <v>193</v>
      </c>
      <c r="C332" s="537" t="str">
        <f t="shared" si="11"/>
        <v>..</v>
      </c>
      <c r="D332" s="537"/>
      <c r="E332" s="537"/>
      <c r="F332" s="537"/>
      <c r="G332" s="537"/>
      <c r="H332" s="537"/>
      <c r="I332" s="537"/>
      <c r="J332" s="537"/>
      <c r="K332" s="537"/>
      <c r="L332" s="537"/>
      <c r="M332" s="537"/>
      <c r="N332" s="537"/>
      <c r="O332" s="537"/>
      <c r="P332" s="537"/>
      <c r="Q332" s="537"/>
      <c r="R332" s="537"/>
      <c r="S332" s="537"/>
      <c r="T332" s="537"/>
      <c r="U332" s="537"/>
    </row>
    <row r="333" spans="1:21" hidden="1" x14ac:dyDescent="0.2">
      <c r="A333" s="537" t="str">
        <f t="shared" si="10"/>
        <v>BLANK...</v>
      </c>
      <c r="B333" s="537" t="s">
        <v>193</v>
      </c>
      <c r="C333" s="537" t="str">
        <f t="shared" si="11"/>
        <v>..</v>
      </c>
      <c r="D333" s="537"/>
      <c r="E333" s="537"/>
      <c r="F333" s="537"/>
      <c r="G333" s="537"/>
      <c r="H333" s="537"/>
      <c r="I333" s="537"/>
      <c r="J333" s="537"/>
      <c r="K333" s="537"/>
      <c r="L333" s="537"/>
      <c r="M333" s="537"/>
      <c r="N333" s="537"/>
      <c r="O333" s="537"/>
      <c r="P333" s="537"/>
      <c r="Q333" s="537"/>
      <c r="R333" s="537"/>
      <c r="S333" s="537"/>
      <c r="T333" s="537"/>
      <c r="U333" s="537"/>
    </row>
    <row r="334" spans="1:21" hidden="1" x14ac:dyDescent="0.2">
      <c r="A334" s="537" t="str">
        <f t="shared" si="10"/>
        <v>BLANK...</v>
      </c>
      <c r="B334" s="537" t="s">
        <v>193</v>
      </c>
      <c r="C334" s="537" t="str">
        <f t="shared" si="11"/>
        <v>..</v>
      </c>
      <c r="D334" s="537"/>
      <c r="E334" s="537"/>
      <c r="F334" s="537"/>
      <c r="G334" s="537"/>
      <c r="H334" s="537"/>
      <c r="I334" s="537"/>
      <c r="J334" s="537"/>
      <c r="K334" s="537"/>
      <c r="L334" s="537"/>
      <c r="M334" s="537"/>
      <c r="N334" s="537"/>
      <c r="O334" s="537"/>
      <c r="P334" s="537"/>
      <c r="Q334" s="537"/>
      <c r="R334" s="537"/>
      <c r="S334" s="537"/>
      <c r="T334" s="537"/>
      <c r="U334" s="537"/>
    </row>
    <row r="335" spans="1:21" hidden="1" x14ac:dyDescent="0.2">
      <c r="A335" s="537" t="str">
        <f t="shared" si="10"/>
        <v>BLANK...</v>
      </c>
      <c r="B335" s="537" t="s">
        <v>193</v>
      </c>
      <c r="C335" s="537" t="str">
        <f t="shared" si="11"/>
        <v>..</v>
      </c>
      <c r="D335" s="537"/>
      <c r="E335" s="537"/>
      <c r="F335" s="537"/>
      <c r="G335" s="537"/>
      <c r="H335" s="537"/>
      <c r="I335" s="537"/>
      <c r="J335" s="537"/>
      <c r="K335" s="537"/>
      <c r="L335" s="537"/>
      <c r="M335" s="537"/>
      <c r="N335" s="537"/>
      <c r="O335" s="537"/>
      <c r="P335" s="537"/>
      <c r="Q335" s="537"/>
      <c r="R335" s="537"/>
      <c r="S335" s="537"/>
      <c r="T335" s="537"/>
      <c r="U335" s="537"/>
    </row>
    <row r="336" spans="1:21" hidden="1" x14ac:dyDescent="0.2">
      <c r="A336" s="537" t="str">
        <f t="shared" si="10"/>
        <v>BLANK...</v>
      </c>
      <c r="B336" s="537" t="s">
        <v>193</v>
      </c>
      <c r="C336" s="537" t="str">
        <f t="shared" si="11"/>
        <v>..</v>
      </c>
      <c r="D336" s="537"/>
      <c r="E336" s="537"/>
      <c r="F336" s="537"/>
      <c r="G336" s="537"/>
      <c r="H336" s="537"/>
      <c r="I336" s="537"/>
      <c r="J336" s="537"/>
      <c r="K336" s="537"/>
      <c r="L336" s="537"/>
      <c r="M336" s="537"/>
      <c r="N336" s="537"/>
      <c r="O336" s="537"/>
      <c r="P336" s="537"/>
      <c r="Q336" s="537"/>
      <c r="R336" s="537"/>
      <c r="S336" s="537"/>
      <c r="T336" s="537"/>
      <c r="U336" s="537"/>
    </row>
    <row r="337" spans="1:21" hidden="1" x14ac:dyDescent="0.2">
      <c r="A337" s="537" t="str">
        <f t="shared" si="10"/>
        <v>BLANK...</v>
      </c>
      <c r="B337" s="537" t="s">
        <v>193</v>
      </c>
      <c r="C337" s="537" t="str">
        <f t="shared" si="11"/>
        <v>..</v>
      </c>
      <c r="D337" s="537"/>
      <c r="E337" s="537"/>
      <c r="F337" s="537"/>
      <c r="G337" s="537"/>
      <c r="H337" s="537"/>
      <c r="I337" s="537"/>
      <c r="J337" s="537"/>
      <c r="K337" s="537"/>
      <c r="L337" s="537"/>
      <c r="M337" s="537"/>
      <c r="N337" s="537"/>
      <c r="O337" s="537"/>
      <c r="P337" s="537"/>
      <c r="Q337" s="537"/>
      <c r="R337" s="537"/>
      <c r="S337" s="537"/>
      <c r="T337" s="537"/>
      <c r="U337" s="537"/>
    </row>
    <row r="338" spans="1:21" hidden="1" x14ac:dyDescent="0.2">
      <c r="A338" s="537" t="str">
        <f t="shared" si="10"/>
        <v>BLANK...</v>
      </c>
      <c r="B338" s="537" t="s">
        <v>193</v>
      </c>
      <c r="C338" s="537" t="str">
        <f t="shared" si="11"/>
        <v>..</v>
      </c>
      <c r="D338" s="537"/>
      <c r="E338" s="537"/>
      <c r="F338" s="537"/>
      <c r="G338" s="537"/>
      <c r="H338" s="537"/>
      <c r="I338" s="537"/>
      <c r="J338" s="537"/>
      <c r="K338" s="537"/>
      <c r="L338" s="537"/>
      <c r="M338" s="537"/>
      <c r="N338" s="537"/>
      <c r="O338" s="537"/>
      <c r="P338" s="537"/>
      <c r="Q338" s="537"/>
      <c r="R338" s="537"/>
      <c r="S338" s="537"/>
      <c r="T338" s="537"/>
      <c r="U338" s="537"/>
    </row>
    <row r="339" spans="1:21" hidden="1" x14ac:dyDescent="0.2">
      <c r="A339" s="537" t="str">
        <f t="shared" si="10"/>
        <v>BLANK...</v>
      </c>
      <c r="B339" s="537" t="s">
        <v>193</v>
      </c>
      <c r="C339" s="537" t="str">
        <f t="shared" si="11"/>
        <v>..</v>
      </c>
      <c r="D339" s="537"/>
      <c r="E339" s="537"/>
      <c r="F339" s="537"/>
      <c r="G339" s="537"/>
      <c r="H339" s="537"/>
      <c r="I339" s="537"/>
      <c r="J339" s="537"/>
      <c r="K339" s="537"/>
      <c r="L339" s="537"/>
      <c r="M339" s="537"/>
      <c r="N339" s="537"/>
      <c r="O339" s="537"/>
      <c r="P339" s="537"/>
      <c r="Q339" s="537"/>
      <c r="R339" s="537"/>
      <c r="S339" s="537"/>
      <c r="T339" s="537"/>
      <c r="U339" s="537"/>
    </row>
    <row r="340" spans="1:21" hidden="1" x14ac:dyDescent="0.2">
      <c r="A340" s="537" t="str">
        <f t="shared" si="10"/>
        <v>BLANK...</v>
      </c>
      <c r="B340" s="537" t="s">
        <v>193</v>
      </c>
      <c r="C340" s="537" t="str">
        <f t="shared" si="11"/>
        <v>..</v>
      </c>
      <c r="D340" s="537"/>
      <c r="E340" s="537"/>
      <c r="F340" s="537"/>
      <c r="G340" s="537"/>
      <c r="H340" s="537"/>
      <c r="I340" s="537"/>
      <c r="J340" s="537"/>
      <c r="K340" s="537"/>
      <c r="L340" s="537"/>
      <c r="M340" s="537"/>
      <c r="N340" s="537"/>
      <c r="O340" s="537"/>
      <c r="P340" s="537"/>
      <c r="Q340" s="537"/>
      <c r="R340" s="537"/>
      <c r="S340" s="537"/>
      <c r="T340" s="537"/>
      <c r="U340" s="537"/>
    </row>
    <row r="341" spans="1:21" hidden="1" x14ac:dyDescent="0.2">
      <c r="A341" s="537" t="str">
        <f t="shared" si="10"/>
        <v>BLANK...</v>
      </c>
      <c r="B341" s="537" t="s">
        <v>193</v>
      </c>
      <c r="C341" s="537" t="str">
        <f t="shared" si="11"/>
        <v>..</v>
      </c>
      <c r="D341" s="537"/>
      <c r="E341" s="537"/>
      <c r="F341" s="537"/>
      <c r="G341" s="537"/>
      <c r="H341" s="537"/>
      <c r="I341" s="537"/>
      <c r="J341" s="537"/>
      <c r="K341" s="537"/>
      <c r="L341" s="537"/>
      <c r="M341" s="537"/>
      <c r="N341" s="537"/>
      <c r="O341" s="537"/>
      <c r="P341" s="537"/>
      <c r="Q341" s="537"/>
      <c r="R341" s="537"/>
      <c r="S341" s="537"/>
      <c r="T341" s="537"/>
      <c r="U341" s="537"/>
    </row>
    <row r="342" spans="1:21" hidden="1" x14ac:dyDescent="0.2">
      <c r="A342" s="537" t="str">
        <f t="shared" si="10"/>
        <v>BLANK...</v>
      </c>
      <c r="B342" s="537" t="s">
        <v>193</v>
      </c>
      <c r="C342" s="537" t="str">
        <f t="shared" si="11"/>
        <v>..</v>
      </c>
      <c r="D342" s="537"/>
      <c r="E342" s="537"/>
      <c r="F342" s="537"/>
      <c r="G342" s="537"/>
      <c r="H342" s="537"/>
      <c r="I342" s="537"/>
      <c r="J342" s="537"/>
      <c r="K342" s="537"/>
      <c r="L342" s="537"/>
      <c r="M342" s="537"/>
      <c r="N342" s="537"/>
      <c r="O342" s="537"/>
      <c r="P342" s="537"/>
      <c r="Q342" s="537"/>
      <c r="R342" s="537"/>
      <c r="S342" s="537"/>
      <c r="T342" s="537"/>
      <c r="U342" s="537"/>
    </row>
    <row r="343" spans="1:21" hidden="1" x14ac:dyDescent="0.2">
      <c r="A343" s="537" t="str">
        <f t="shared" si="10"/>
        <v>BLANK...</v>
      </c>
      <c r="B343" s="537" t="s">
        <v>193</v>
      </c>
      <c r="C343" s="537" t="str">
        <f t="shared" si="11"/>
        <v>..</v>
      </c>
      <c r="D343" s="537"/>
      <c r="E343" s="537"/>
      <c r="F343" s="537"/>
      <c r="G343" s="537"/>
      <c r="H343" s="537"/>
      <c r="I343" s="537"/>
      <c r="J343" s="537"/>
      <c r="K343" s="537"/>
      <c r="L343" s="537"/>
      <c r="M343" s="537"/>
      <c r="N343" s="537"/>
      <c r="O343" s="537"/>
      <c r="P343" s="537"/>
      <c r="Q343" s="537"/>
      <c r="R343" s="537"/>
      <c r="S343" s="537"/>
      <c r="T343" s="537"/>
      <c r="U343" s="537"/>
    </row>
    <row r="344" spans="1:21" hidden="1" x14ac:dyDescent="0.2">
      <c r="A344" s="537" t="str">
        <f t="shared" si="10"/>
        <v>BLANK...</v>
      </c>
      <c r="B344" s="537" t="s">
        <v>193</v>
      </c>
      <c r="C344" s="537" t="str">
        <f t="shared" si="11"/>
        <v>..</v>
      </c>
      <c r="D344" s="537"/>
      <c r="E344" s="537"/>
      <c r="F344" s="537"/>
      <c r="G344" s="537"/>
      <c r="H344" s="537"/>
      <c r="I344" s="537"/>
      <c r="J344" s="537"/>
      <c r="K344" s="537"/>
      <c r="L344" s="537"/>
      <c r="M344" s="537"/>
      <c r="N344" s="537"/>
      <c r="O344" s="537"/>
      <c r="P344" s="537"/>
      <c r="Q344" s="537"/>
      <c r="R344" s="537"/>
      <c r="S344" s="537"/>
      <c r="T344" s="537"/>
      <c r="U344" s="537"/>
    </row>
    <row r="345" spans="1:21" hidden="1" x14ac:dyDescent="0.2">
      <c r="A345" s="537" t="str">
        <f t="shared" si="10"/>
        <v>BLANK...</v>
      </c>
      <c r="B345" s="537" t="s">
        <v>193</v>
      </c>
      <c r="C345" s="537" t="str">
        <f t="shared" si="11"/>
        <v>..</v>
      </c>
      <c r="D345" s="537"/>
      <c r="E345" s="537"/>
      <c r="F345" s="537"/>
      <c r="G345" s="537"/>
      <c r="H345" s="537"/>
      <c r="I345" s="537"/>
      <c r="J345" s="537"/>
      <c r="K345" s="537"/>
      <c r="L345" s="537"/>
      <c r="M345" s="537"/>
      <c r="N345" s="537"/>
      <c r="O345" s="537"/>
      <c r="P345" s="537"/>
      <c r="Q345" s="537"/>
      <c r="R345" s="537"/>
      <c r="S345" s="537"/>
      <c r="T345" s="537"/>
      <c r="U345" s="537"/>
    </row>
    <row r="346" spans="1:21" hidden="1" x14ac:dyDescent="0.2">
      <c r="A346" s="537" t="str">
        <f t="shared" si="10"/>
        <v>BLANK...</v>
      </c>
      <c r="B346" s="537" t="s">
        <v>193</v>
      </c>
      <c r="C346" s="537" t="str">
        <f t="shared" si="11"/>
        <v>..</v>
      </c>
      <c r="D346" s="537"/>
      <c r="E346" s="537"/>
      <c r="F346" s="537"/>
      <c r="G346" s="537"/>
      <c r="H346" s="537"/>
      <c r="I346" s="537"/>
      <c r="J346" s="537"/>
      <c r="K346" s="537"/>
      <c r="L346" s="537"/>
      <c r="M346" s="537"/>
      <c r="N346" s="537"/>
      <c r="O346" s="537"/>
      <c r="P346" s="537"/>
      <c r="Q346" s="537"/>
      <c r="R346" s="537"/>
      <c r="S346" s="537"/>
      <c r="T346" s="537"/>
      <c r="U346" s="537"/>
    </row>
    <row r="347" spans="1:21" hidden="1" x14ac:dyDescent="0.2">
      <c r="A347" s="537" t="str">
        <f t="shared" si="10"/>
        <v>BLANK...</v>
      </c>
      <c r="B347" s="537" t="s">
        <v>193</v>
      </c>
      <c r="C347" s="537" t="str">
        <f t="shared" si="11"/>
        <v>..</v>
      </c>
      <c r="D347" s="537"/>
      <c r="E347" s="537"/>
      <c r="F347" s="537"/>
      <c r="G347" s="537"/>
      <c r="H347" s="537"/>
      <c r="I347" s="537"/>
      <c r="J347" s="537"/>
      <c r="K347" s="537"/>
      <c r="L347" s="537"/>
      <c r="M347" s="537"/>
      <c r="N347" s="537"/>
      <c r="O347" s="537"/>
      <c r="P347" s="537"/>
      <c r="Q347" s="537"/>
      <c r="R347" s="537"/>
      <c r="S347" s="537"/>
      <c r="T347" s="537"/>
      <c r="U347" s="537"/>
    </row>
    <row r="348" spans="1:21" hidden="1" x14ac:dyDescent="0.2">
      <c r="A348" s="537" t="str">
        <f t="shared" si="10"/>
        <v>BLANK...</v>
      </c>
      <c r="B348" s="537" t="s">
        <v>193</v>
      </c>
      <c r="C348" s="537" t="str">
        <f t="shared" si="11"/>
        <v>..</v>
      </c>
      <c r="D348" s="537"/>
      <c r="E348" s="537"/>
      <c r="F348" s="537"/>
      <c r="G348" s="537"/>
      <c r="H348" s="537"/>
      <c r="I348" s="537"/>
      <c r="J348" s="537"/>
      <c r="K348" s="537"/>
      <c r="L348" s="537"/>
      <c r="M348" s="537"/>
      <c r="N348" s="537"/>
      <c r="O348" s="537"/>
      <c r="P348" s="537"/>
      <c r="Q348" s="537"/>
      <c r="R348" s="537"/>
      <c r="S348" s="537"/>
      <c r="T348" s="537"/>
      <c r="U348" s="537"/>
    </row>
    <row r="349" spans="1:21" hidden="1" x14ac:dyDescent="0.2">
      <c r="A349" s="537" t="str">
        <f t="shared" si="10"/>
        <v>BLANK...</v>
      </c>
      <c r="B349" s="537" t="s">
        <v>193</v>
      </c>
      <c r="C349" s="537" t="str">
        <f t="shared" si="11"/>
        <v>..</v>
      </c>
      <c r="D349" s="537"/>
      <c r="E349" s="537"/>
      <c r="F349" s="537"/>
      <c r="G349" s="537"/>
      <c r="H349" s="537"/>
      <c r="I349" s="537"/>
      <c r="J349" s="537"/>
      <c r="K349" s="537"/>
      <c r="L349" s="537"/>
      <c r="M349" s="537"/>
      <c r="N349" s="537"/>
      <c r="O349" s="537"/>
      <c r="P349" s="537"/>
      <c r="Q349" s="537"/>
      <c r="R349" s="537"/>
      <c r="S349" s="537"/>
      <c r="T349" s="537"/>
      <c r="U349" s="537"/>
    </row>
    <row r="350" spans="1:21" hidden="1" x14ac:dyDescent="0.2">
      <c r="A350" s="537" t="str">
        <f t="shared" si="10"/>
        <v>BLANK...</v>
      </c>
      <c r="B350" s="537" t="s">
        <v>193</v>
      </c>
      <c r="C350" s="537" t="str">
        <f t="shared" si="11"/>
        <v>..</v>
      </c>
      <c r="D350" s="537"/>
      <c r="E350" s="537"/>
      <c r="F350" s="537"/>
      <c r="G350" s="537"/>
      <c r="H350" s="537"/>
      <c r="I350" s="537"/>
      <c r="J350" s="537"/>
      <c r="K350" s="537"/>
      <c r="L350" s="537"/>
      <c r="M350" s="537"/>
      <c r="N350" s="537"/>
      <c r="O350" s="537"/>
      <c r="P350" s="537"/>
      <c r="Q350" s="537"/>
      <c r="R350" s="537"/>
      <c r="S350" s="537"/>
      <c r="T350" s="537"/>
      <c r="U350" s="537"/>
    </row>
    <row r="351" spans="1:21" hidden="1" x14ac:dyDescent="0.2">
      <c r="A351" s="537" t="str">
        <f t="shared" si="10"/>
        <v>BLANK...</v>
      </c>
      <c r="B351" s="537" t="s">
        <v>193</v>
      </c>
      <c r="C351" s="537" t="str">
        <f t="shared" si="11"/>
        <v>..</v>
      </c>
      <c r="D351" s="537"/>
      <c r="E351" s="537"/>
      <c r="F351" s="537"/>
      <c r="G351" s="537"/>
      <c r="H351" s="537"/>
      <c r="I351" s="537"/>
      <c r="J351" s="537"/>
      <c r="K351" s="537"/>
      <c r="L351" s="537"/>
      <c r="M351" s="537"/>
      <c r="N351" s="537"/>
      <c r="O351" s="537"/>
      <c r="P351" s="537"/>
      <c r="Q351" s="537"/>
      <c r="R351" s="537"/>
      <c r="S351" s="537"/>
      <c r="T351" s="537"/>
      <c r="U351" s="537"/>
    </row>
    <row r="352" spans="1:21" hidden="1" x14ac:dyDescent="0.2">
      <c r="A352" s="537" t="str">
        <f t="shared" si="10"/>
        <v>BLANK...</v>
      </c>
      <c r="B352" s="537" t="s">
        <v>193</v>
      </c>
      <c r="C352" s="537" t="str">
        <f t="shared" si="11"/>
        <v>..</v>
      </c>
      <c r="D352" s="537"/>
      <c r="E352" s="537"/>
      <c r="F352" s="537"/>
      <c r="G352" s="537"/>
      <c r="H352" s="537"/>
      <c r="I352" s="537"/>
      <c r="J352" s="537"/>
      <c r="K352" s="537"/>
      <c r="L352" s="537"/>
      <c r="M352" s="537"/>
      <c r="N352" s="537"/>
      <c r="O352" s="537"/>
      <c r="P352" s="537"/>
      <c r="Q352" s="537"/>
      <c r="R352" s="537"/>
      <c r="S352" s="537"/>
      <c r="T352" s="537"/>
      <c r="U352" s="537"/>
    </row>
    <row r="353" spans="1:21" hidden="1" x14ac:dyDescent="0.2">
      <c r="A353" s="537" t="str">
        <f t="shared" si="10"/>
        <v>BLANK...</v>
      </c>
      <c r="B353" s="537" t="s">
        <v>193</v>
      </c>
      <c r="C353" s="537" t="str">
        <f t="shared" si="11"/>
        <v>..</v>
      </c>
      <c r="D353" s="537"/>
      <c r="E353" s="537"/>
      <c r="F353" s="537"/>
      <c r="G353" s="537"/>
      <c r="H353" s="537"/>
      <c r="I353" s="537"/>
      <c r="J353" s="537"/>
      <c r="K353" s="537"/>
      <c r="L353" s="537"/>
      <c r="M353" s="537"/>
      <c r="N353" s="537"/>
      <c r="O353" s="537"/>
      <c r="P353" s="537"/>
      <c r="Q353" s="537"/>
      <c r="R353" s="537"/>
      <c r="S353" s="537"/>
      <c r="T353" s="537"/>
      <c r="U353" s="537"/>
    </row>
    <row r="354" spans="1:21" hidden="1" x14ac:dyDescent="0.2">
      <c r="A354" s="537" t="str">
        <f t="shared" si="10"/>
        <v>BLANK...</v>
      </c>
      <c r="B354" s="537" t="s">
        <v>193</v>
      </c>
      <c r="C354" s="537" t="str">
        <f t="shared" si="11"/>
        <v>..</v>
      </c>
      <c r="D354" s="537"/>
      <c r="E354" s="537"/>
      <c r="F354" s="537"/>
      <c r="G354" s="537"/>
      <c r="H354" s="537"/>
      <c r="I354" s="537"/>
      <c r="J354" s="537"/>
      <c r="K354" s="537"/>
      <c r="L354" s="537"/>
      <c r="M354" s="537"/>
      <c r="N354" s="537"/>
      <c r="O354" s="537"/>
      <c r="P354" s="537"/>
      <c r="Q354" s="537"/>
      <c r="R354" s="537"/>
      <c r="S354" s="537"/>
      <c r="T354" s="537"/>
      <c r="U354" s="537"/>
    </row>
    <row r="355" spans="1:21" hidden="1" x14ac:dyDescent="0.2">
      <c r="A355" s="537" t="str">
        <f t="shared" si="10"/>
        <v>BLANK...</v>
      </c>
      <c r="B355" s="537" t="s">
        <v>193</v>
      </c>
      <c r="C355" s="537" t="str">
        <f t="shared" si="11"/>
        <v>..</v>
      </c>
      <c r="D355" s="537"/>
      <c r="E355" s="537"/>
      <c r="F355" s="537"/>
      <c r="G355" s="537"/>
      <c r="H355" s="537"/>
      <c r="I355" s="537"/>
      <c r="J355" s="537"/>
      <c r="K355" s="537"/>
      <c r="L355" s="537"/>
      <c r="M355" s="537"/>
      <c r="N355" s="537"/>
      <c r="O355" s="537"/>
      <c r="P355" s="537"/>
      <c r="Q355" s="537"/>
      <c r="R355" s="537"/>
      <c r="S355" s="537"/>
      <c r="T355" s="537"/>
      <c r="U355" s="537"/>
    </row>
    <row r="356" spans="1:21" hidden="1" x14ac:dyDescent="0.2">
      <c r="A356" s="537" t="str">
        <f t="shared" si="10"/>
        <v>BLANK...</v>
      </c>
      <c r="B356" s="537" t="s">
        <v>193</v>
      </c>
      <c r="C356" s="537" t="str">
        <f t="shared" si="11"/>
        <v>..</v>
      </c>
      <c r="D356" s="537"/>
      <c r="E356" s="537"/>
      <c r="F356" s="537"/>
      <c r="G356" s="537"/>
      <c r="H356" s="537"/>
      <c r="I356" s="537"/>
      <c r="J356" s="537"/>
      <c r="K356" s="537"/>
      <c r="L356" s="537"/>
      <c r="M356" s="537"/>
      <c r="N356" s="537"/>
      <c r="O356" s="537"/>
      <c r="P356" s="537"/>
      <c r="Q356" s="537"/>
      <c r="R356" s="537"/>
      <c r="S356" s="537"/>
      <c r="T356" s="537"/>
      <c r="U356" s="537"/>
    </row>
    <row r="357" spans="1:21" hidden="1" x14ac:dyDescent="0.2">
      <c r="A357" s="537" t="str">
        <f t="shared" si="10"/>
        <v>BLANK...</v>
      </c>
      <c r="B357" s="537" t="s">
        <v>193</v>
      </c>
      <c r="C357" s="537" t="str">
        <f t="shared" si="11"/>
        <v>..</v>
      </c>
      <c r="D357" s="537"/>
      <c r="E357" s="537"/>
      <c r="F357" s="537"/>
      <c r="G357" s="537"/>
      <c r="H357" s="537"/>
      <c r="I357" s="537"/>
      <c r="J357" s="537"/>
      <c r="K357" s="537"/>
      <c r="L357" s="537"/>
      <c r="M357" s="537"/>
      <c r="N357" s="537"/>
      <c r="O357" s="537"/>
      <c r="P357" s="537"/>
      <c r="Q357" s="537"/>
      <c r="R357" s="537"/>
      <c r="S357" s="537"/>
      <c r="T357" s="537"/>
      <c r="U357" s="537"/>
    </row>
    <row r="358" spans="1:21" hidden="1" x14ac:dyDescent="0.2">
      <c r="A358" s="537" t="str">
        <f t="shared" si="10"/>
        <v>BLANK...</v>
      </c>
      <c r="B358" s="537" t="s">
        <v>193</v>
      </c>
      <c r="C358" s="537" t="str">
        <f t="shared" si="11"/>
        <v>..</v>
      </c>
      <c r="D358" s="537"/>
      <c r="E358" s="537"/>
      <c r="F358" s="537"/>
      <c r="G358" s="537"/>
      <c r="H358" s="537"/>
      <c r="I358" s="537"/>
      <c r="J358" s="537"/>
      <c r="K358" s="537"/>
      <c r="L358" s="537"/>
      <c r="M358" s="537"/>
      <c r="N358" s="537"/>
      <c r="O358" s="537"/>
      <c r="P358" s="537"/>
      <c r="Q358" s="537"/>
      <c r="R358" s="537"/>
      <c r="S358" s="537"/>
      <c r="T358" s="537"/>
      <c r="U358" s="537"/>
    </row>
    <row r="359" spans="1:21" hidden="1" x14ac:dyDescent="0.2">
      <c r="A359" s="537" t="str">
        <f t="shared" si="10"/>
        <v>BLANK...</v>
      </c>
      <c r="B359" s="537" t="s">
        <v>193</v>
      </c>
      <c r="C359" s="537" t="str">
        <f t="shared" si="11"/>
        <v>..</v>
      </c>
      <c r="D359" s="537"/>
      <c r="E359" s="537"/>
      <c r="F359" s="537"/>
      <c r="G359" s="537"/>
      <c r="H359" s="537"/>
      <c r="I359" s="537"/>
      <c r="J359" s="537"/>
      <c r="K359" s="537"/>
      <c r="L359" s="537"/>
      <c r="M359" s="537"/>
      <c r="N359" s="537"/>
      <c r="O359" s="537"/>
      <c r="P359" s="537"/>
      <c r="Q359" s="537"/>
      <c r="R359" s="537"/>
      <c r="S359" s="537"/>
      <c r="T359" s="537"/>
      <c r="U359" s="537"/>
    </row>
    <row r="360" spans="1:21" hidden="1" x14ac:dyDescent="0.2">
      <c r="A360" s="537" t="str">
        <f t="shared" si="10"/>
        <v>BLANK...</v>
      </c>
      <c r="B360" s="537" t="s">
        <v>193</v>
      </c>
      <c r="C360" s="537" t="str">
        <f t="shared" si="11"/>
        <v>..</v>
      </c>
      <c r="D360" s="537"/>
      <c r="E360" s="537"/>
      <c r="F360" s="537"/>
      <c r="G360" s="537"/>
      <c r="H360" s="537"/>
      <c r="I360" s="537"/>
      <c r="J360" s="537"/>
      <c r="K360" s="537"/>
      <c r="L360" s="537"/>
      <c r="M360" s="537"/>
      <c r="N360" s="537"/>
      <c r="O360" s="537"/>
      <c r="P360" s="537"/>
      <c r="Q360" s="537"/>
      <c r="R360" s="537"/>
      <c r="S360" s="537"/>
      <c r="T360" s="537"/>
      <c r="U360" s="537"/>
    </row>
    <row r="361" spans="1:21" hidden="1" x14ac:dyDescent="0.2">
      <c r="A361" s="537" t="str">
        <f t="shared" si="10"/>
        <v>BLANK...</v>
      </c>
      <c r="B361" s="537" t="s">
        <v>193</v>
      </c>
      <c r="C361" s="537" t="str">
        <f t="shared" si="11"/>
        <v>..</v>
      </c>
      <c r="D361" s="537"/>
      <c r="E361" s="537"/>
      <c r="F361" s="537"/>
      <c r="G361" s="537"/>
      <c r="H361" s="537"/>
      <c r="I361" s="537"/>
      <c r="J361" s="537"/>
      <c r="K361" s="537"/>
      <c r="L361" s="537"/>
      <c r="M361" s="537"/>
      <c r="N361" s="537"/>
      <c r="O361" s="537"/>
      <c r="P361" s="537"/>
      <c r="Q361" s="537"/>
      <c r="R361" s="537"/>
      <c r="S361" s="537"/>
      <c r="T361" s="537"/>
      <c r="U361" s="537"/>
    </row>
    <row r="362" spans="1:21" hidden="1" x14ac:dyDescent="0.2">
      <c r="A362" s="537" t="str">
        <f t="shared" si="10"/>
        <v>BLANK...</v>
      </c>
      <c r="B362" s="537" t="s">
        <v>193</v>
      </c>
      <c r="C362" s="537" t="str">
        <f t="shared" si="11"/>
        <v>..</v>
      </c>
      <c r="D362" s="537"/>
      <c r="E362" s="537"/>
      <c r="F362" s="537"/>
      <c r="G362" s="537"/>
      <c r="H362" s="537"/>
      <c r="I362" s="537"/>
      <c r="J362" s="537"/>
      <c r="K362" s="537"/>
      <c r="L362" s="537"/>
      <c r="M362" s="537"/>
      <c r="N362" s="537"/>
      <c r="O362" s="537"/>
      <c r="P362" s="537"/>
      <c r="Q362" s="537"/>
      <c r="R362" s="537"/>
      <c r="S362" s="537"/>
      <c r="T362" s="537"/>
      <c r="U362" s="537"/>
    </row>
    <row r="363" spans="1:21" hidden="1" x14ac:dyDescent="0.2">
      <c r="A363" s="537" t="str">
        <f t="shared" si="10"/>
        <v>BLANK...</v>
      </c>
      <c r="B363" s="537" t="s">
        <v>193</v>
      </c>
      <c r="C363" s="537" t="str">
        <f t="shared" si="11"/>
        <v>..</v>
      </c>
      <c r="D363" s="537"/>
      <c r="E363" s="537"/>
      <c r="F363" s="537"/>
      <c r="G363" s="537"/>
      <c r="H363" s="537"/>
      <c r="I363" s="537"/>
      <c r="J363" s="537"/>
      <c r="K363" s="537"/>
      <c r="L363" s="537"/>
      <c r="M363" s="537"/>
      <c r="N363" s="537"/>
      <c r="O363" s="537"/>
      <c r="P363" s="537"/>
      <c r="Q363" s="537"/>
      <c r="R363" s="537"/>
      <c r="S363" s="537"/>
      <c r="T363" s="537"/>
      <c r="U363" s="537"/>
    </row>
    <row r="364" spans="1:21" hidden="1" x14ac:dyDescent="0.2">
      <c r="A364" s="537" t="str">
        <f t="shared" si="10"/>
        <v>BLANK...</v>
      </c>
      <c r="B364" s="537" t="s">
        <v>193</v>
      </c>
      <c r="C364" s="537" t="str">
        <f t="shared" si="11"/>
        <v>..</v>
      </c>
      <c r="D364" s="537"/>
      <c r="E364" s="537"/>
      <c r="F364" s="537"/>
      <c r="G364" s="537"/>
      <c r="H364" s="537"/>
      <c r="I364" s="537"/>
      <c r="J364" s="537"/>
      <c r="K364" s="537"/>
      <c r="L364" s="537"/>
      <c r="M364" s="537"/>
      <c r="N364" s="537"/>
      <c r="O364" s="537"/>
      <c r="P364" s="537"/>
      <c r="Q364" s="537"/>
      <c r="R364" s="537"/>
      <c r="S364" s="537"/>
      <c r="T364" s="537"/>
      <c r="U364" s="537"/>
    </row>
    <row r="365" spans="1:21" hidden="1" x14ac:dyDescent="0.2">
      <c r="A365" s="537" t="str">
        <f t="shared" si="10"/>
        <v>BLANK...</v>
      </c>
      <c r="B365" s="537" t="s">
        <v>193</v>
      </c>
      <c r="C365" s="537" t="str">
        <f t="shared" si="11"/>
        <v>..</v>
      </c>
      <c r="D365" s="537"/>
      <c r="E365" s="537"/>
      <c r="F365" s="537"/>
      <c r="G365" s="537"/>
      <c r="H365" s="537"/>
      <c r="I365" s="537"/>
      <c r="J365" s="537"/>
      <c r="K365" s="537"/>
      <c r="L365" s="537"/>
      <c r="M365" s="537"/>
      <c r="N365" s="537"/>
      <c r="O365" s="537"/>
      <c r="P365" s="537"/>
      <c r="Q365" s="537"/>
      <c r="R365" s="537"/>
      <c r="S365" s="537"/>
      <c r="T365" s="537"/>
      <c r="U365" s="537"/>
    </row>
    <row r="366" spans="1:21" hidden="1" x14ac:dyDescent="0.2">
      <c r="A366" s="537" t="str">
        <f t="shared" si="10"/>
        <v>BLANK...</v>
      </c>
      <c r="B366" s="537" t="s">
        <v>193</v>
      </c>
      <c r="C366" s="537" t="str">
        <f t="shared" si="11"/>
        <v>..</v>
      </c>
      <c r="D366" s="537"/>
      <c r="E366" s="537"/>
      <c r="F366" s="537"/>
      <c r="G366" s="537"/>
      <c r="H366" s="537"/>
      <c r="I366" s="537"/>
      <c r="J366" s="537"/>
      <c r="K366" s="537"/>
      <c r="L366" s="537"/>
      <c r="M366" s="537"/>
      <c r="N366" s="537"/>
      <c r="O366" s="537"/>
      <c r="P366" s="537"/>
      <c r="Q366" s="537"/>
      <c r="R366" s="537"/>
      <c r="S366" s="537"/>
      <c r="T366" s="537"/>
      <c r="U366" s="537"/>
    </row>
    <row r="367" spans="1:21" hidden="1" x14ac:dyDescent="0.2">
      <c r="A367" s="537" t="str">
        <f t="shared" si="10"/>
        <v>BLANK...</v>
      </c>
      <c r="B367" s="537" t="s">
        <v>193</v>
      </c>
      <c r="C367" s="537" t="str">
        <f t="shared" si="11"/>
        <v>..</v>
      </c>
      <c r="D367" s="537"/>
      <c r="E367" s="537"/>
      <c r="F367" s="537"/>
      <c r="G367" s="537"/>
      <c r="H367" s="537"/>
      <c r="I367" s="537"/>
      <c r="J367" s="537"/>
      <c r="K367" s="537"/>
      <c r="L367" s="537"/>
      <c r="M367" s="537"/>
      <c r="N367" s="537"/>
      <c r="O367" s="537"/>
      <c r="P367" s="537"/>
      <c r="Q367" s="537"/>
      <c r="R367" s="537"/>
      <c r="S367" s="537"/>
      <c r="T367" s="537"/>
      <c r="U367" s="537"/>
    </row>
    <row r="368" spans="1:21" hidden="1" x14ac:dyDescent="0.2">
      <c r="A368" s="537" t="str">
        <f t="shared" si="10"/>
        <v>BLANK...</v>
      </c>
      <c r="B368" s="537" t="s">
        <v>193</v>
      </c>
      <c r="C368" s="537" t="str">
        <f t="shared" si="11"/>
        <v>..</v>
      </c>
      <c r="D368" s="537"/>
      <c r="E368" s="537"/>
      <c r="F368" s="537"/>
      <c r="G368" s="537"/>
      <c r="H368" s="537"/>
      <c r="I368" s="537"/>
      <c r="J368" s="537"/>
      <c r="K368" s="537"/>
      <c r="L368" s="537"/>
      <c r="M368" s="537"/>
      <c r="N368" s="537"/>
      <c r="O368" s="537"/>
      <c r="P368" s="537"/>
      <c r="Q368" s="537"/>
      <c r="R368" s="537"/>
      <c r="S368" s="537"/>
      <c r="T368" s="537"/>
      <c r="U368" s="537"/>
    </row>
    <row r="369" spans="1:21" hidden="1" x14ac:dyDescent="0.2">
      <c r="A369" s="537" t="str">
        <f t="shared" si="10"/>
        <v>BLANK...</v>
      </c>
      <c r="B369" s="537" t="s">
        <v>193</v>
      </c>
      <c r="C369" s="537" t="str">
        <f t="shared" si="11"/>
        <v>..</v>
      </c>
      <c r="D369" s="537"/>
      <c r="E369" s="537"/>
      <c r="F369" s="537"/>
      <c r="G369" s="537"/>
      <c r="H369" s="537"/>
      <c r="I369" s="537"/>
      <c r="J369" s="537"/>
      <c r="K369" s="537"/>
      <c r="L369" s="537"/>
      <c r="M369" s="537"/>
      <c r="N369" s="537"/>
      <c r="O369" s="537"/>
      <c r="P369" s="537"/>
      <c r="Q369" s="537"/>
      <c r="R369" s="537"/>
      <c r="S369" s="537"/>
      <c r="T369" s="537"/>
      <c r="U369" s="537"/>
    </row>
    <row r="370" spans="1:21" hidden="1" x14ac:dyDescent="0.2">
      <c r="A370" s="537" t="str">
        <f t="shared" si="10"/>
        <v>BLANK...</v>
      </c>
      <c r="B370" s="537" t="s">
        <v>193</v>
      </c>
      <c r="C370" s="537" t="str">
        <f t="shared" si="11"/>
        <v>..</v>
      </c>
      <c r="D370" s="537"/>
      <c r="E370" s="537"/>
      <c r="F370" s="537"/>
      <c r="G370" s="537"/>
      <c r="H370" s="537"/>
      <c r="I370" s="537"/>
      <c r="J370" s="537"/>
      <c r="K370" s="537"/>
      <c r="L370" s="537"/>
      <c r="M370" s="537"/>
      <c r="N370" s="537"/>
      <c r="O370" s="537"/>
      <c r="P370" s="537"/>
      <c r="Q370" s="537"/>
      <c r="R370" s="537"/>
      <c r="S370" s="537"/>
      <c r="T370" s="537"/>
      <c r="U370" s="537"/>
    </row>
    <row r="371" spans="1:21" hidden="1" x14ac:dyDescent="0.2">
      <c r="A371" s="537" t="str">
        <f t="shared" si="10"/>
        <v>BLANK...</v>
      </c>
      <c r="B371" s="537" t="s">
        <v>193</v>
      </c>
      <c r="C371" s="537" t="str">
        <f t="shared" si="11"/>
        <v>..</v>
      </c>
      <c r="D371" s="537"/>
      <c r="E371" s="537"/>
      <c r="F371" s="537"/>
      <c r="G371" s="537"/>
      <c r="H371" s="537"/>
      <c r="I371" s="537"/>
      <c r="J371" s="537"/>
      <c r="K371" s="537"/>
      <c r="L371" s="537"/>
      <c r="M371" s="537"/>
      <c r="N371" s="537"/>
      <c r="O371" s="537"/>
      <c r="P371" s="537"/>
      <c r="Q371" s="537"/>
      <c r="R371" s="537"/>
      <c r="S371" s="537"/>
      <c r="T371" s="537"/>
      <c r="U371" s="537"/>
    </row>
    <row r="372" spans="1:21" hidden="1" x14ac:dyDescent="0.2">
      <c r="A372" s="537" t="str">
        <f t="shared" si="10"/>
        <v>BLANK...</v>
      </c>
      <c r="B372" s="537" t="s">
        <v>193</v>
      </c>
      <c r="C372" s="537" t="str">
        <f t="shared" si="11"/>
        <v>..</v>
      </c>
      <c r="D372" s="537"/>
      <c r="E372" s="537"/>
      <c r="F372" s="537"/>
      <c r="G372" s="537"/>
      <c r="H372" s="537"/>
      <c r="I372" s="537"/>
      <c r="J372" s="537"/>
      <c r="K372" s="537"/>
      <c r="L372" s="537"/>
      <c r="M372" s="537"/>
      <c r="N372" s="537"/>
      <c r="O372" s="537"/>
      <c r="P372" s="537"/>
      <c r="Q372" s="537"/>
      <c r="R372" s="537"/>
      <c r="S372" s="537"/>
      <c r="T372" s="537"/>
      <c r="U372" s="537"/>
    </row>
    <row r="373" spans="1:21" hidden="1" x14ac:dyDescent="0.2">
      <c r="A373" s="537" t="str">
        <f t="shared" si="10"/>
        <v>BLANK...</v>
      </c>
      <c r="B373" s="537" t="s">
        <v>193</v>
      </c>
      <c r="C373" s="537" t="str">
        <f t="shared" si="11"/>
        <v>..</v>
      </c>
      <c r="D373" s="537"/>
      <c r="E373" s="537"/>
      <c r="F373" s="537"/>
      <c r="G373" s="537"/>
      <c r="H373" s="537"/>
      <c r="I373" s="537"/>
      <c r="J373" s="537"/>
      <c r="K373" s="537"/>
      <c r="L373" s="537"/>
      <c r="M373" s="537"/>
      <c r="N373" s="537"/>
      <c r="O373" s="537"/>
      <c r="P373" s="537"/>
      <c r="Q373" s="537"/>
      <c r="R373" s="537"/>
      <c r="S373" s="537"/>
      <c r="T373" s="537"/>
      <c r="U373" s="537"/>
    </row>
    <row r="374" spans="1:21" hidden="1" x14ac:dyDescent="0.2">
      <c r="A374" s="537" t="str">
        <f t="shared" si="10"/>
        <v>BLANK...</v>
      </c>
      <c r="B374" s="537" t="s">
        <v>193</v>
      </c>
      <c r="C374" s="537" t="str">
        <f t="shared" si="11"/>
        <v>..</v>
      </c>
      <c r="D374" s="537"/>
      <c r="E374" s="537"/>
      <c r="F374" s="537"/>
      <c r="G374" s="537"/>
      <c r="H374" s="537"/>
      <c r="I374" s="537"/>
      <c r="J374" s="537"/>
      <c r="K374" s="537"/>
      <c r="L374" s="537"/>
      <c r="M374" s="537"/>
      <c r="N374" s="537"/>
      <c r="O374" s="537"/>
      <c r="P374" s="537"/>
      <c r="Q374" s="537"/>
      <c r="R374" s="537"/>
      <c r="S374" s="537"/>
      <c r="T374" s="537"/>
      <c r="U374" s="537"/>
    </row>
    <row r="375" spans="1:21" hidden="1" x14ac:dyDescent="0.2">
      <c r="A375" s="537" t="str">
        <f t="shared" si="10"/>
        <v>BLANK...</v>
      </c>
      <c r="B375" s="537" t="s">
        <v>193</v>
      </c>
      <c r="C375" s="537" t="str">
        <f t="shared" si="11"/>
        <v>..</v>
      </c>
      <c r="D375" s="537"/>
      <c r="E375" s="537"/>
      <c r="F375" s="537"/>
      <c r="G375" s="537"/>
      <c r="H375" s="537"/>
      <c r="I375" s="537"/>
      <c r="J375" s="537"/>
      <c r="K375" s="537"/>
      <c r="L375" s="537"/>
      <c r="M375" s="537"/>
      <c r="N375" s="537"/>
      <c r="O375" s="537"/>
      <c r="P375" s="537"/>
      <c r="Q375" s="537"/>
      <c r="R375" s="537"/>
      <c r="S375" s="537"/>
      <c r="T375" s="537"/>
      <c r="U375" s="537"/>
    </row>
    <row r="376" spans="1:21" hidden="1" x14ac:dyDescent="0.2">
      <c r="A376" s="537" t="str">
        <f t="shared" si="10"/>
        <v>BLANK...</v>
      </c>
      <c r="B376" s="537" t="s">
        <v>193</v>
      </c>
      <c r="C376" s="537" t="str">
        <f t="shared" si="11"/>
        <v>..</v>
      </c>
      <c r="D376" s="537"/>
      <c r="E376" s="537"/>
      <c r="F376" s="537"/>
      <c r="G376" s="537"/>
      <c r="H376" s="537"/>
      <c r="I376" s="537"/>
      <c r="J376" s="537"/>
      <c r="K376" s="537"/>
      <c r="L376" s="537"/>
      <c r="M376" s="537"/>
      <c r="N376" s="537"/>
      <c r="O376" s="537"/>
      <c r="P376" s="537"/>
      <c r="Q376" s="537"/>
      <c r="R376" s="537"/>
      <c r="S376" s="537"/>
      <c r="T376" s="537"/>
      <c r="U376" s="537"/>
    </row>
    <row r="377" spans="1:21" hidden="1" x14ac:dyDescent="0.2">
      <c r="A377" s="537" t="str">
        <f t="shared" si="10"/>
        <v>BLANK...</v>
      </c>
      <c r="B377" s="537" t="s">
        <v>193</v>
      </c>
      <c r="C377" s="537" t="str">
        <f t="shared" si="11"/>
        <v>..</v>
      </c>
      <c r="D377" s="537"/>
      <c r="E377" s="537"/>
      <c r="F377" s="537"/>
      <c r="G377" s="537"/>
      <c r="H377" s="537"/>
      <c r="I377" s="537"/>
      <c r="J377" s="537"/>
      <c r="K377" s="537"/>
      <c r="L377" s="537"/>
      <c r="M377" s="537"/>
      <c r="N377" s="537"/>
      <c r="O377" s="537"/>
      <c r="P377" s="537"/>
      <c r="Q377" s="537"/>
      <c r="R377" s="537"/>
      <c r="S377" s="537"/>
      <c r="T377" s="537"/>
      <c r="U377" s="537"/>
    </row>
    <row r="378" spans="1:21" hidden="1" x14ac:dyDescent="0.2">
      <c r="A378" s="537" t="str">
        <f t="shared" si="10"/>
        <v>BLANK...</v>
      </c>
      <c r="B378" s="537" t="s">
        <v>193</v>
      </c>
      <c r="C378" s="537" t="str">
        <f t="shared" si="11"/>
        <v>..</v>
      </c>
      <c r="D378" s="537"/>
      <c r="E378" s="537"/>
      <c r="F378" s="537"/>
      <c r="G378" s="537"/>
      <c r="H378" s="537"/>
      <c r="I378" s="537"/>
      <c r="J378" s="537"/>
      <c r="K378" s="537"/>
      <c r="L378" s="537"/>
      <c r="M378" s="537"/>
      <c r="N378" s="537"/>
      <c r="O378" s="537"/>
      <c r="P378" s="537"/>
      <c r="Q378" s="537"/>
      <c r="R378" s="537"/>
      <c r="S378" s="537"/>
      <c r="T378" s="537"/>
      <c r="U378" s="537"/>
    </row>
    <row r="379" spans="1:21" hidden="1" x14ac:dyDescent="0.2">
      <c r="A379" s="537" t="str">
        <f t="shared" si="10"/>
        <v>BLANK...</v>
      </c>
      <c r="B379" s="537" t="s">
        <v>193</v>
      </c>
      <c r="C379" s="537" t="str">
        <f t="shared" si="11"/>
        <v>..</v>
      </c>
      <c r="D379" s="537"/>
      <c r="E379" s="537"/>
      <c r="F379" s="537"/>
      <c r="G379" s="537"/>
      <c r="H379" s="537"/>
      <c r="I379" s="537"/>
      <c r="J379" s="537"/>
      <c r="K379" s="537"/>
      <c r="L379" s="537"/>
      <c r="M379" s="537"/>
      <c r="N379" s="537"/>
      <c r="O379" s="537"/>
      <c r="P379" s="537"/>
      <c r="Q379" s="537"/>
      <c r="R379" s="537"/>
      <c r="S379" s="537"/>
      <c r="T379" s="537"/>
      <c r="U379" s="537"/>
    </row>
    <row r="380" spans="1:21" hidden="1" x14ac:dyDescent="0.2">
      <c r="A380" s="537" t="str">
        <f t="shared" si="10"/>
        <v>BLANK...</v>
      </c>
      <c r="B380" s="537" t="s">
        <v>193</v>
      </c>
      <c r="C380" s="537" t="str">
        <f t="shared" si="11"/>
        <v>..</v>
      </c>
      <c r="D380" s="537"/>
      <c r="E380" s="537"/>
      <c r="F380" s="537"/>
      <c r="G380" s="537"/>
      <c r="H380" s="537"/>
      <c r="I380" s="537"/>
      <c r="J380" s="537"/>
      <c r="K380" s="537"/>
      <c r="L380" s="537"/>
      <c r="M380" s="537"/>
      <c r="N380" s="537"/>
      <c r="O380" s="537"/>
      <c r="P380" s="537"/>
      <c r="Q380" s="537"/>
      <c r="R380" s="537"/>
      <c r="S380" s="537"/>
      <c r="T380" s="537"/>
      <c r="U380" s="537"/>
    </row>
    <row r="381" spans="1:21" hidden="1" x14ac:dyDescent="0.2">
      <c r="A381" s="537" t="str">
        <f t="shared" si="10"/>
        <v>BLANK...</v>
      </c>
      <c r="B381" s="537" t="s">
        <v>193</v>
      </c>
      <c r="C381" s="537" t="str">
        <f t="shared" si="11"/>
        <v>..</v>
      </c>
      <c r="D381" s="537"/>
      <c r="E381" s="537"/>
      <c r="F381" s="537"/>
      <c r="G381" s="537"/>
      <c r="H381" s="537"/>
      <c r="I381" s="537"/>
      <c r="J381" s="537"/>
      <c r="K381" s="537"/>
      <c r="L381" s="537"/>
      <c r="M381" s="537"/>
      <c r="N381" s="537"/>
      <c r="O381" s="537"/>
      <c r="P381" s="537"/>
      <c r="Q381" s="537"/>
      <c r="R381" s="537"/>
      <c r="S381" s="537"/>
      <c r="T381" s="537"/>
      <c r="U381" s="537"/>
    </row>
    <row r="382" spans="1:21" hidden="1" x14ac:dyDescent="0.2">
      <c r="A382" s="537" t="str">
        <f t="shared" si="10"/>
        <v>BLANK...</v>
      </c>
      <c r="B382" s="537" t="s">
        <v>193</v>
      </c>
      <c r="C382" s="537" t="str">
        <f t="shared" si="11"/>
        <v>..</v>
      </c>
      <c r="D382" s="537"/>
      <c r="E382" s="537"/>
      <c r="F382" s="537"/>
      <c r="G382" s="537"/>
      <c r="H382" s="537"/>
      <c r="I382" s="537"/>
      <c r="J382" s="537"/>
      <c r="K382" s="537"/>
      <c r="L382" s="537"/>
      <c r="M382" s="537"/>
      <c r="N382" s="537"/>
      <c r="O382" s="537"/>
      <c r="P382" s="537"/>
      <c r="Q382" s="537"/>
      <c r="R382" s="537"/>
      <c r="S382" s="537"/>
      <c r="T382" s="537"/>
      <c r="U382" s="537"/>
    </row>
    <row r="383" spans="1:21" hidden="1" x14ac:dyDescent="0.2">
      <c r="A383" s="537" t="str">
        <f t="shared" si="10"/>
        <v>BLANK...</v>
      </c>
      <c r="B383" s="537" t="s">
        <v>193</v>
      </c>
      <c r="C383" s="537" t="str">
        <f t="shared" si="11"/>
        <v>..</v>
      </c>
      <c r="D383" s="537"/>
      <c r="E383" s="537"/>
      <c r="F383" s="537"/>
      <c r="G383" s="537"/>
      <c r="H383" s="537"/>
      <c r="I383" s="537"/>
      <c r="J383" s="537"/>
      <c r="K383" s="537"/>
      <c r="L383" s="537"/>
      <c r="M383" s="537"/>
      <c r="N383" s="537"/>
      <c r="O383" s="537"/>
      <c r="P383" s="537"/>
      <c r="Q383" s="537"/>
      <c r="R383" s="537"/>
      <c r="S383" s="537"/>
      <c r="T383" s="537"/>
      <c r="U383" s="537"/>
    </row>
    <row r="384" spans="1:21" hidden="1" x14ac:dyDescent="0.2">
      <c r="A384" s="537" t="str">
        <f t="shared" si="10"/>
        <v>BLANK...</v>
      </c>
      <c r="B384" s="537" t="s">
        <v>193</v>
      </c>
      <c r="C384" s="537" t="str">
        <f t="shared" si="11"/>
        <v>..</v>
      </c>
      <c r="D384" s="537"/>
      <c r="E384" s="537"/>
      <c r="F384" s="537"/>
      <c r="G384" s="537"/>
      <c r="H384" s="537"/>
      <c r="I384" s="537"/>
      <c r="J384" s="537"/>
      <c r="K384" s="537"/>
      <c r="L384" s="537"/>
      <c r="M384" s="537"/>
      <c r="N384" s="537"/>
      <c r="O384" s="537"/>
      <c r="P384" s="537"/>
      <c r="Q384" s="537"/>
      <c r="R384" s="537"/>
      <c r="S384" s="537"/>
      <c r="T384" s="537"/>
      <c r="U384" s="537"/>
    </row>
    <row r="385" spans="1:21" hidden="1" x14ac:dyDescent="0.2">
      <c r="A385" s="537" t="str">
        <f t="shared" si="10"/>
        <v>BLANK...</v>
      </c>
      <c r="B385" s="537" t="s">
        <v>193</v>
      </c>
      <c r="C385" s="537" t="str">
        <f t="shared" si="11"/>
        <v>..</v>
      </c>
      <c r="D385" s="537"/>
      <c r="E385" s="537"/>
      <c r="F385" s="537"/>
      <c r="G385" s="537"/>
      <c r="H385" s="537"/>
      <c r="I385" s="537"/>
      <c r="J385" s="537"/>
      <c r="K385" s="537"/>
      <c r="L385" s="537"/>
      <c r="M385" s="537"/>
      <c r="N385" s="537"/>
      <c r="O385" s="537"/>
      <c r="P385" s="537"/>
      <c r="Q385" s="537"/>
      <c r="R385" s="537"/>
      <c r="S385" s="537"/>
      <c r="T385" s="537"/>
      <c r="U385" s="537"/>
    </row>
    <row r="386" spans="1:21" hidden="1" x14ac:dyDescent="0.2">
      <c r="A386" s="537" t="str">
        <f t="shared" si="10"/>
        <v>BLANK...</v>
      </c>
      <c r="B386" s="537" t="s">
        <v>193</v>
      </c>
      <c r="C386" s="537" t="str">
        <f t="shared" si="11"/>
        <v>..</v>
      </c>
      <c r="D386" s="537"/>
      <c r="E386" s="537"/>
      <c r="F386" s="537"/>
      <c r="G386" s="537"/>
      <c r="H386" s="537"/>
      <c r="I386" s="537"/>
      <c r="J386" s="537"/>
      <c r="K386" s="537"/>
      <c r="L386" s="537"/>
      <c r="M386" s="537"/>
      <c r="N386" s="537"/>
      <c r="O386" s="537"/>
      <c r="P386" s="537"/>
      <c r="Q386" s="537"/>
      <c r="R386" s="537"/>
      <c r="S386" s="537"/>
      <c r="T386" s="537"/>
      <c r="U386" s="537"/>
    </row>
    <row r="387" spans="1:21" hidden="1" x14ac:dyDescent="0.2">
      <c r="A387" s="537" t="str">
        <f t="shared" si="10"/>
        <v>BLANK...</v>
      </c>
      <c r="B387" s="537" t="s">
        <v>193</v>
      </c>
      <c r="C387" s="537" t="str">
        <f t="shared" si="11"/>
        <v>..</v>
      </c>
      <c r="D387" s="537"/>
      <c r="E387" s="537"/>
      <c r="F387" s="537"/>
      <c r="G387" s="537"/>
      <c r="H387" s="537"/>
      <c r="I387" s="537"/>
      <c r="J387" s="537"/>
      <c r="K387" s="537"/>
      <c r="L387" s="537"/>
      <c r="M387" s="537"/>
      <c r="N387" s="537"/>
      <c r="O387" s="537"/>
      <c r="P387" s="537"/>
      <c r="Q387" s="537"/>
      <c r="R387" s="537"/>
      <c r="S387" s="537"/>
      <c r="T387" s="537"/>
      <c r="U387" s="537"/>
    </row>
    <row r="388" spans="1:21" hidden="1" x14ac:dyDescent="0.2">
      <c r="A388" s="537" t="str">
        <f t="shared" si="10"/>
        <v>BLANK...</v>
      </c>
      <c r="B388" s="537" t="s">
        <v>193</v>
      </c>
      <c r="C388" s="537" t="str">
        <f t="shared" si="11"/>
        <v>..</v>
      </c>
      <c r="D388" s="537"/>
      <c r="E388" s="537"/>
      <c r="F388" s="537"/>
      <c r="G388" s="537"/>
      <c r="H388" s="537"/>
      <c r="I388" s="537"/>
      <c r="J388" s="537"/>
      <c r="K388" s="537"/>
      <c r="L388" s="537"/>
      <c r="M388" s="537"/>
      <c r="N388" s="537"/>
      <c r="O388" s="537"/>
      <c r="P388" s="537"/>
      <c r="Q388" s="537"/>
      <c r="R388" s="537"/>
      <c r="S388" s="537"/>
      <c r="T388" s="537"/>
      <c r="U388" s="537"/>
    </row>
    <row r="389" spans="1:21" hidden="1" x14ac:dyDescent="0.2">
      <c r="A389" s="537" t="str">
        <f t="shared" si="10"/>
        <v>BLANK...</v>
      </c>
      <c r="B389" s="537" t="s">
        <v>193</v>
      </c>
      <c r="C389" s="537" t="str">
        <f t="shared" si="11"/>
        <v>..</v>
      </c>
      <c r="D389" s="537"/>
      <c r="E389" s="537"/>
      <c r="F389" s="537"/>
      <c r="G389" s="537"/>
      <c r="H389" s="537"/>
      <c r="I389" s="537"/>
      <c r="J389" s="537"/>
      <c r="K389" s="537"/>
      <c r="L389" s="537"/>
      <c r="M389" s="537"/>
      <c r="N389" s="537"/>
      <c r="O389" s="537"/>
      <c r="P389" s="537"/>
      <c r="Q389" s="537"/>
      <c r="R389" s="537"/>
      <c r="S389" s="537"/>
      <c r="T389" s="537"/>
      <c r="U389" s="537"/>
    </row>
    <row r="390" spans="1:21" hidden="1" x14ac:dyDescent="0.2">
      <c r="A390" s="537" t="str">
        <f t="shared" si="10"/>
        <v>BLANK...</v>
      </c>
      <c r="B390" s="537" t="s">
        <v>193</v>
      </c>
      <c r="C390" s="537" t="str">
        <f t="shared" si="11"/>
        <v>..</v>
      </c>
      <c r="D390" s="537"/>
      <c r="E390" s="537"/>
      <c r="F390" s="537"/>
      <c r="G390" s="537"/>
      <c r="H390" s="537"/>
      <c r="I390" s="537"/>
      <c r="J390" s="537"/>
      <c r="K390" s="537"/>
      <c r="L390" s="537"/>
      <c r="M390" s="537"/>
      <c r="N390" s="537"/>
      <c r="O390" s="537"/>
      <c r="P390" s="537"/>
      <c r="Q390" s="537"/>
      <c r="R390" s="537"/>
      <c r="S390" s="537"/>
      <c r="T390" s="537"/>
      <c r="U390" s="537"/>
    </row>
    <row r="391" spans="1:21" hidden="1" x14ac:dyDescent="0.2">
      <c r="A391" s="537" t="str">
        <f t="shared" si="10"/>
        <v>BLANK...</v>
      </c>
      <c r="B391" s="537" t="s">
        <v>193</v>
      </c>
      <c r="C391" s="537" t="str">
        <f t="shared" si="11"/>
        <v>..</v>
      </c>
      <c r="D391" s="537"/>
      <c r="E391" s="537"/>
      <c r="F391" s="537"/>
      <c r="G391" s="537"/>
      <c r="H391" s="537"/>
      <c r="I391" s="537"/>
      <c r="J391" s="537"/>
      <c r="K391" s="537"/>
      <c r="L391" s="537"/>
      <c r="M391" s="537"/>
      <c r="N391" s="537"/>
      <c r="O391" s="537"/>
      <c r="P391" s="537"/>
      <c r="Q391" s="537"/>
      <c r="R391" s="537"/>
      <c r="S391" s="537"/>
      <c r="T391" s="537"/>
      <c r="U391" s="537"/>
    </row>
    <row r="392" spans="1:21" hidden="1" x14ac:dyDescent="0.2">
      <c r="A392" s="537" t="str">
        <f t="shared" si="10"/>
        <v>BLANK...</v>
      </c>
      <c r="B392" s="537" t="s">
        <v>193</v>
      </c>
      <c r="C392" s="537" t="str">
        <f t="shared" si="11"/>
        <v>..</v>
      </c>
      <c r="D392" s="537"/>
      <c r="E392" s="537"/>
      <c r="F392" s="537"/>
      <c r="G392" s="537"/>
      <c r="H392" s="537"/>
      <c r="I392" s="537"/>
      <c r="J392" s="537"/>
      <c r="K392" s="537"/>
      <c r="L392" s="537"/>
      <c r="M392" s="537"/>
      <c r="N392" s="537"/>
      <c r="O392" s="537"/>
      <c r="P392" s="537"/>
      <c r="Q392" s="537"/>
      <c r="R392" s="537"/>
      <c r="S392" s="537"/>
      <c r="T392" s="537"/>
      <c r="U392" s="537"/>
    </row>
    <row r="393" spans="1:21" hidden="1" x14ac:dyDescent="0.2">
      <c r="A393" s="537" t="str">
        <f t="shared" ref="A393:A456" si="12">B393&amp;"."&amp;D393&amp;"."&amp;E393&amp;"."&amp;F393</f>
        <v>BLANK...</v>
      </c>
      <c r="B393" s="537" t="s">
        <v>193</v>
      </c>
      <c r="C393" s="537" t="str">
        <f t="shared" ref="C393:C456" si="13">D393&amp;"."&amp;E393&amp;"."&amp;F393</f>
        <v>..</v>
      </c>
      <c r="D393" s="537"/>
      <c r="E393" s="537"/>
      <c r="F393" s="537"/>
      <c r="G393" s="537"/>
      <c r="H393" s="537"/>
      <c r="I393" s="537"/>
      <c r="J393" s="537"/>
      <c r="K393" s="537"/>
      <c r="L393" s="537"/>
      <c r="M393" s="537"/>
      <c r="N393" s="537"/>
      <c r="O393" s="537"/>
      <c r="P393" s="537"/>
      <c r="Q393" s="537"/>
      <c r="R393" s="537"/>
      <c r="S393" s="537"/>
      <c r="T393" s="537"/>
      <c r="U393" s="537"/>
    </row>
    <row r="394" spans="1:21" hidden="1" x14ac:dyDescent="0.2">
      <c r="A394" s="537" t="str">
        <f t="shared" si="12"/>
        <v>BLANK...</v>
      </c>
      <c r="B394" s="537" t="s">
        <v>193</v>
      </c>
      <c r="C394" s="537" t="str">
        <f t="shared" si="13"/>
        <v>..</v>
      </c>
      <c r="D394" s="537"/>
      <c r="E394" s="537"/>
      <c r="F394" s="537"/>
      <c r="G394" s="537"/>
      <c r="H394" s="537"/>
      <c r="I394" s="537"/>
      <c r="J394" s="537"/>
      <c r="K394" s="537"/>
      <c r="L394" s="537"/>
      <c r="M394" s="537"/>
      <c r="N394" s="537"/>
      <c r="O394" s="537"/>
      <c r="P394" s="537"/>
      <c r="Q394" s="537"/>
      <c r="R394" s="537"/>
      <c r="S394" s="537"/>
      <c r="T394" s="537"/>
      <c r="U394" s="537"/>
    </row>
    <row r="395" spans="1:21" hidden="1" x14ac:dyDescent="0.2">
      <c r="A395" s="537" t="str">
        <f t="shared" si="12"/>
        <v>BLANK...</v>
      </c>
      <c r="B395" s="537" t="s">
        <v>193</v>
      </c>
      <c r="C395" s="537" t="str">
        <f t="shared" si="13"/>
        <v>..</v>
      </c>
      <c r="D395" s="537"/>
      <c r="E395" s="537"/>
      <c r="F395" s="537"/>
      <c r="G395" s="537"/>
      <c r="H395" s="537"/>
      <c r="I395" s="537"/>
      <c r="J395" s="537"/>
      <c r="K395" s="537"/>
      <c r="L395" s="537"/>
      <c r="M395" s="537"/>
      <c r="N395" s="537"/>
      <c r="O395" s="537"/>
      <c r="P395" s="537"/>
      <c r="Q395" s="537"/>
      <c r="R395" s="537"/>
      <c r="S395" s="537"/>
      <c r="T395" s="537"/>
      <c r="U395" s="537"/>
    </row>
    <row r="396" spans="1:21" hidden="1" x14ac:dyDescent="0.2">
      <c r="A396" s="537" t="str">
        <f t="shared" si="12"/>
        <v>BLANK...</v>
      </c>
      <c r="B396" s="537" t="s">
        <v>193</v>
      </c>
      <c r="C396" s="537" t="str">
        <f t="shared" si="13"/>
        <v>..</v>
      </c>
      <c r="D396" s="537"/>
      <c r="E396" s="537"/>
      <c r="F396" s="537"/>
      <c r="G396" s="537"/>
      <c r="H396" s="537"/>
      <c r="I396" s="537"/>
      <c r="J396" s="537"/>
      <c r="K396" s="537"/>
      <c r="L396" s="537"/>
      <c r="M396" s="537"/>
      <c r="N396" s="537"/>
      <c r="O396" s="537"/>
      <c r="P396" s="537"/>
      <c r="Q396" s="537"/>
      <c r="R396" s="537"/>
      <c r="S396" s="537"/>
      <c r="T396" s="537"/>
      <c r="U396" s="537"/>
    </row>
    <row r="397" spans="1:21" hidden="1" x14ac:dyDescent="0.2">
      <c r="A397" s="537" t="str">
        <f t="shared" si="12"/>
        <v>BLANK...</v>
      </c>
      <c r="B397" s="537" t="s">
        <v>193</v>
      </c>
      <c r="C397" s="537" t="str">
        <f t="shared" si="13"/>
        <v>..</v>
      </c>
      <c r="D397" s="537"/>
      <c r="E397" s="537"/>
      <c r="F397" s="537"/>
      <c r="G397" s="537"/>
      <c r="H397" s="537"/>
      <c r="I397" s="537"/>
      <c r="J397" s="537"/>
      <c r="K397" s="537"/>
      <c r="L397" s="537"/>
      <c r="M397" s="537"/>
      <c r="N397" s="537"/>
      <c r="O397" s="537"/>
      <c r="P397" s="537"/>
      <c r="Q397" s="537"/>
      <c r="R397" s="537"/>
      <c r="S397" s="537"/>
      <c r="T397" s="537"/>
      <c r="U397" s="537"/>
    </row>
    <row r="398" spans="1:21" hidden="1" x14ac:dyDescent="0.2">
      <c r="A398" s="537" t="str">
        <f t="shared" si="12"/>
        <v>BLANK...</v>
      </c>
      <c r="B398" s="537" t="s">
        <v>193</v>
      </c>
      <c r="C398" s="537" t="str">
        <f t="shared" si="13"/>
        <v>..</v>
      </c>
      <c r="D398" s="537"/>
      <c r="E398" s="537"/>
      <c r="F398" s="537"/>
      <c r="G398" s="537"/>
      <c r="H398" s="537"/>
      <c r="I398" s="537"/>
      <c r="J398" s="537"/>
      <c r="K398" s="537"/>
      <c r="L398" s="537"/>
      <c r="M398" s="537"/>
      <c r="N398" s="537"/>
      <c r="O398" s="537"/>
      <c r="P398" s="537"/>
      <c r="Q398" s="537"/>
      <c r="R398" s="537"/>
      <c r="S398" s="537"/>
      <c r="T398" s="537"/>
      <c r="U398" s="537"/>
    </row>
    <row r="399" spans="1:21" hidden="1" x14ac:dyDescent="0.2">
      <c r="A399" s="537" t="str">
        <f t="shared" si="12"/>
        <v>BLANK...</v>
      </c>
      <c r="B399" s="537" t="s">
        <v>193</v>
      </c>
      <c r="C399" s="537" t="str">
        <f t="shared" si="13"/>
        <v>..</v>
      </c>
      <c r="D399" s="537"/>
      <c r="E399" s="537"/>
      <c r="F399" s="537"/>
      <c r="G399" s="537"/>
      <c r="H399" s="537"/>
      <c r="I399" s="537"/>
      <c r="J399" s="537"/>
      <c r="K399" s="537"/>
      <c r="L399" s="537"/>
      <c r="M399" s="537"/>
      <c r="N399" s="537"/>
      <c r="O399" s="537"/>
      <c r="P399" s="537"/>
      <c r="Q399" s="537"/>
      <c r="R399" s="537"/>
      <c r="S399" s="537"/>
      <c r="T399" s="537"/>
      <c r="U399" s="537"/>
    </row>
    <row r="400" spans="1:21" hidden="1" x14ac:dyDescent="0.2">
      <c r="A400" s="537" t="str">
        <f t="shared" si="12"/>
        <v>BLANK...</v>
      </c>
      <c r="B400" s="537" t="s">
        <v>193</v>
      </c>
      <c r="C400" s="537" t="str">
        <f t="shared" si="13"/>
        <v>..</v>
      </c>
      <c r="D400" s="537"/>
      <c r="E400" s="537"/>
      <c r="F400" s="537"/>
      <c r="G400" s="537"/>
      <c r="H400" s="537"/>
      <c r="I400" s="537"/>
      <c r="J400" s="537"/>
      <c r="K400" s="537"/>
      <c r="L400" s="537"/>
      <c r="M400" s="537"/>
      <c r="N400" s="537"/>
      <c r="O400" s="537"/>
      <c r="P400" s="537"/>
      <c r="Q400" s="537"/>
      <c r="R400" s="537"/>
      <c r="S400" s="537"/>
      <c r="T400" s="537"/>
      <c r="U400" s="537"/>
    </row>
    <row r="401" spans="1:21" hidden="1" x14ac:dyDescent="0.2">
      <c r="A401" s="537" t="str">
        <f t="shared" si="12"/>
        <v>BLANK...</v>
      </c>
      <c r="B401" s="537" t="s">
        <v>193</v>
      </c>
      <c r="C401" s="537" t="str">
        <f t="shared" si="13"/>
        <v>..</v>
      </c>
      <c r="D401" s="537"/>
      <c r="E401" s="537"/>
      <c r="F401" s="537"/>
      <c r="G401" s="537"/>
      <c r="H401" s="537"/>
      <c r="I401" s="537"/>
      <c r="J401" s="537"/>
      <c r="K401" s="537"/>
      <c r="L401" s="537"/>
      <c r="M401" s="537"/>
      <c r="N401" s="537"/>
      <c r="O401" s="537"/>
      <c r="P401" s="537"/>
      <c r="Q401" s="537"/>
      <c r="R401" s="537"/>
      <c r="S401" s="537"/>
      <c r="T401" s="537"/>
      <c r="U401" s="537"/>
    </row>
    <row r="402" spans="1:21" hidden="1" x14ac:dyDescent="0.2">
      <c r="A402" s="537" t="str">
        <f t="shared" si="12"/>
        <v>BLANK...</v>
      </c>
      <c r="B402" s="537" t="s">
        <v>193</v>
      </c>
      <c r="C402" s="537" t="str">
        <f t="shared" si="13"/>
        <v>..</v>
      </c>
      <c r="D402" s="537"/>
      <c r="E402" s="537"/>
      <c r="F402" s="537"/>
      <c r="G402" s="537"/>
      <c r="H402" s="537"/>
      <c r="I402" s="537"/>
      <c r="J402" s="537"/>
      <c r="K402" s="537"/>
      <c r="L402" s="537"/>
      <c r="M402" s="537"/>
      <c r="N402" s="537"/>
      <c r="O402" s="537"/>
      <c r="P402" s="537"/>
      <c r="Q402" s="537"/>
      <c r="R402" s="537"/>
      <c r="S402" s="537"/>
      <c r="T402" s="537"/>
      <c r="U402" s="537"/>
    </row>
    <row r="403" spans="1:21" hidden="1" x14ac:dyDescent="0.2">
      <c r="A403" s="537" t="str">
        <f t="shared" si="12"/>
        <v>BLANK...</v>
      </c>
      <c r="B403" s="537" t="s">
        <v>193</v>
      </c>
      <c r="C403" s="537" t="str">
        <f t="shared" si="13"/>
        <v>..</v>
      </c>
      <c r="D403" s="537"/>
      <c r="E403" s="537"/>
      <c r="F403" s="537"/>
      <c r="G403" s="537"/>
      <c r="H403" s="537"/>
      <c r="I403" s="537"/>
      <c r="J403" s="537"/>
      <c r="K403" s="537"/>
      <c r="L403" s="537"/>
      <c r="M403" s="537"/>
      <c r="N403" s="537"/>
      <c r="O403" s="537"/>
      <c r="P403" s="537"/>
      <c r="Q403" s="537"/>
      <c r="R403" s="537"/>
      <c r="S403" s="537"/>
      <c r="T403" s="537"/>
      <c r="U403" s="537"/>
    </row>
    <row r="404" spans="1:21" hidden="1" x14ac:dyDescent="0.2">
      <c r="A404" s="537" t="str">
        <f t="shared" si="12"/>
        <v>BLANK...</v>
      </c>
      <c r="B404" s="537" t="s">
        <v>193</v>
      </c>
      <c r="C404" s="537" t="str">
        <f t="shared" si="13"/>
        <v>..</v>
      </c>
      <c r="D404" s="537"/>
      <c r="E404" s="537"/>
      <c r="F404" s="537"/>
      <c r="G404" s="537"/>
      <c r="H404" s="537"/>
      <c r="I404" s="537"/>
      <c r="J404" s="537"/>
      <c r="K404" s="537"/>
      <c r="L404" s="537"/>
      <c r="M404" s="537"/>
      <c r="N404" s="537"/>
      <c r="O404" s="537"/>
      <c r="P404" s="537"/>
      <c r="Q404" s="537"/>
      <c r="R404" s="537"/>
      <c r="S404" s="537"/>
      <c r="T404" s="537"/>
      <c r="U404" s="537"/>
    </row>
    <row r="405" spans="1:21" hidden="1" x14ac:dyDescent="0.2">
      <c r="A405" s="537" t="str">
        <f t="shared" si="12"/>
        <v>BLANK...</v>
      </c>
      <c r="B405" s="537" t="s">
        <v>193</v>
      </c>
      <c r="C405" s="537" t="str">
        <f t="shared" si="13"/>
        <v>..</v>
      </c>
      <c r="D405" s="537"/>
      <c r="E405" s="537"/>
      <c r="F405" s="537"/>
      <c r="G405" s="537"/>
      <c r="H405" s="537"/>
      <c r="I405" s="537"/>
      <c r="J405" s="537"/>
      <c r="K405" s="537"/>
      <c r="L405" s="537"/>
      <c r="M405" s="537"/>
      <c r="N405" s="537"/>
      <c r="O405" s="537"/>
      <c r="P405" s="537"/>
      <c r="Q405" s="537"/>
      <c r="R405" s="537"/>
      <c r="S405" s="537"/>
      <c r="T405" s="537"/>
      <c r="U405" s="537"/>
    </row>
    <row r="406" spans="1:21" hidden="1" x14ac:dyDescent="0.2">
      <c r="A406" s="537" t="str">
        <f t="shared" si="12"/>
        <v>BLANK...</v>
      </c>
      <c r="B406" s="537" t="s">
        <v>193</v>
      </c>
      <c r="C406" s="537" t="str">
        <f t="shared" si="13"/>
        <v>..</v>
      </c>
      <c r="D406" s="537"/>
      <c r="E406" s="537"/>
      <c r="F406" s="537"/>
      <c r="G406" s="537"/>
      <c r="H406" s="537"/>
      <c r="I406" s="537"/>
      <c r="J406" s="537"/>
      <c r="K406" s="537"/>
      <c r="L406" s="537"/>
      <c r="M406" s="537"/>
      <c r="N406" s="537"/>
      <c r="O406" s="537"/>
      <c r="P406" s="537"/>
      <c r="Q406" s="537"/>
      <c r="R406" s="537"/>
      <c r="S406" s="537"/>
      <c r="T406" s="537"/>
      <c r="U406" s="537"/>
    </row>
    <row r="407" spans="1:21" hidden="1" x14ac:dyDescent="0.2">
      <c r="A407" s="537" t="str">
        <f t="shared" si="12"/>
        <v>BLANK...</v>
      </c>
      <c r="B407" s="537" t="s">
        <v>193</v>
      </c>
      <c r="C407" s="537" t="str">
        <f t="shared" si="13"/>
        <v>..</v>
      </c>
      <c r="D407" s="537"/>
      <c r="E407" s="537"/>
      <c r="F407" s="537"/>
      <c r="G407" s="537"/>
      <c r="H407" s="537"/>
      <c r="I407" s="537"/>
      <c r="J407" s="537"/>
      <c r="K407" s="537"/>
      <c r="L407" s="537"/>
      <c r="M407" s="537"/>
      <c r="N407" s="537"/>
      <c r="O407" s="537"/>
      <c r="P407" s="537"/>
      <c r="Q407" s="537"/>
      <c r="R407" s="537"/>
      <c r="S407" s="537"/>
      <c r="T407" s="537"/>
      <c r="U407" s="537"/>
    </row>
    <row r="408" spans="1:21" hidden="1" x14ac:dyDescent="0.2">
      <c r="A408" s="537" t="str">
        <f t="shared" si="12"/>
        <v>BLANK...</v>
      </c>
      <c r="B408" s="537" t="s">
        <v>193</v>
      </c>
      <c r="C408" s="537" t="str">
        <f t="shared" si="13"/>
        <v>..</v>
      </c>
      <c r="D408" s="537"/>
      <c r="E408" s="537"/>
      <c r="F408" s="537"/>
      <c r="G408" s="537"/>
      <c r="H408" s="537"/>
      <c r="I408" s="537"/>
      <c r="J408" s="537"/>
      <c r="K408" s="537"/>
      <c r="L408" s="537"/>
      <c r="M408" s="537"/>
      <c r="N408" s="537"/>
      <c r="O408" s="537"/>
      <c r="P408" s="537"/>
      <c r="Q408" s="537"/>
      <c r="R408" s="537"/>
      <c r="S408" s="537"/>
      <c r="T408" s="537"/>
      <c r="U408" s="537"/>
    </row>
    <row r="409" spans="1:21" hidden="1" x14ac:dyDescent="0.2">
      <c r="A409" s="537" t="str">
        <f t="shared" si="12"/>
        <v>BLANK...</v>
      </c>
      <c r="B409" s="537" t="s">
        <v>193</v>
      </c>
      <c r="C409" s="537" t="str">
        <f t="shared" si="13"/>
        <v>..</v>
      </c>
      <c r="D409" s="537"/>
      <c r="E409" s="537"/>
      <c r="F409" s="537"/>
      <c r="G409" s="537"/>
      <c r="H409" s="537"/>
      <c r="I409" s="537"/>
      <c r="J409" s="537"/>
      <c r="K409" s="537"/>
      <c r="L409" s="537"/>
      <c r="M409" s="537"/>
      <c r="N409" s="537"/>
      <c r="O409" s="537"/>
      <c r="P409" s="537"/>
      <c r="Q409" s="537"/>
      <c r="R409" s="537"/>
      <c r="S409" s="537"/>
      <c r="T409" s="537"/>
      <c r="U409" s="537"/>
    </row>
    <row r="410" spans="1:21" hidden="1" x14ac:dyDescent="0.2">
      <c r="A410" s="537" t="str">
        <f t="shared" si="12"/>
        <v>BLANK...</v>
      </c>
      <c r="B410" s="537" t="s">
        <v>193</v>
      </c>
      <c r="C410" s="537" t="str">
        <f t="shared" si="13"/>
        <v>..</v>
      </c>
      <c r="D410" s="537"/>
      <c r="E410" s="537"/>
      <c r="F410" s="537"/>
      <c r="G410" s="537"/>
      <c r="H410" s="537"/>
      <c r="I410" s="537"/>
      <c r="J410" s="537"/>
      <c r="K410" s="537"/>
      <c r="L410" s="537"/>
      <c r="M410" s="537"/>
      <c r="N410" s="537"/>
      <c r="O410" s="537"/>
      <c r="P410" s="537"/>
      <c r="Q410" s="537"/>
      <c r="R410" s="537"/>
      <c r="S410" s="537"/>
      <c r="T410" s="537"/>
      <c r="U410" s="537"/>
    </row>
    <row r="411" spans="1:21" hidden="1" x14ac:dyDescent="0.2">
      <c r="A411" s="537" t="str">
        <f t="shared" si="12"/>
        <v>BLANK...</v>
      </c>
      <c r="B411" s="537" t="s">
        <v>193</v>
      </c>
      <c r="C411" s="537" t="str">
        <f t="shared" si="13"/>
        <v>..</v>
      </c>
      <c r="D411" s="537"/>
      <c r="E411" s="537"/>
      <c r="F411" s="537"/>
      <c r="G411" s="537"/>
      <c r="H411" s="537"/>
      <c r="I411" s="537"/>
      <c r="J411" s="537"/>
      <c r="K411" s="537"/>
      <c r="L411" s="537"/>
      <c r="M411" s="537"/>
      <c r="N411" s="537"/>
      <c r="O411" s="537"/>
      <c r="P411" s="537"/>
      <c r="Q411" s="537"/>
      <c r="R411" s="537"/>
      <c r="S411" s="537"/>
      <c r="T411" s="537"/>
      <c r="U411" s="537"/>
    </row>
    <row r="412" spans="1:21" hidden="1" x14ac:dyDescent="0.2">
      <c r="A412" s="537" t="str">
        <f t="shared" si="12"/>
        <v>BLANK...</v>
      </c>
      <c r="B412" s="537" t="s">
        <v>193</v>
      </c>
      <c r="C412" s="537" t="str">
        <f t="shared" si="13"/>
        <v>..</v>
      </c>
      <c r="D412" s="537"/>
      <c r="E412" s="537"/>
      <c r="F412" s="537"/>
      <c r="G412" s="537"/>
      <c r="H412" s="537"/>
      <c r="I412" s="537"/>
      <c r="J412" s="537"/>
      <c r="K412" s="537"/>
      <c r="L412" s="537"/>
      <c r="M412" s="537"/>
      <c r="N412" s="537"/>
      <c r="O412" s="537"/>
      <c r="P412" s="537"/>
      <c r="Q412" s="537"/>
      <c r="R412" s="537"/>
      <c r="S412" s="537"/>
      <c r="T412" s="537"/>
      <c r="U412" s="537"/>
    </row>
    <row r="413" spans="1:21" hidden="1" x14ac:dyDescent="0.2">
      <c r="A413" s="537" t="str">
        <f t="shared" si="12"/>
        <v>BLANK...</v>
      </c>
      <c r="B413" s="537" t="s">
        <v>193</v>
      </c>
      <c r="C413" s="537" t="str">
        <f t="shared" si="13"/>
        <v>..</v>
      </c>
      <c r="D413" s="537"/>
      <c r="E413" s="537"/>
      <c r="F413" s="537"/>
      <c r="G413" s="537"/>
      <c r="H413" s="537"/>
      <c r="I413" s="537"/>
      <c r="J413" s="537"/>
      <c r="K413" s="537"/>
      <c r="L413" s="537"/>
      <c r="M413" s="537"/>
      <c r="N413" s="537"/>
      <c r="O413" s="537"/>
      <c r="P413" s="537"/>
      <c r="Q413" s="537"/>
      <c r="R413" s="537"/>
      <c r="S413" s="537"/>
      <c r="T413" s="537"/>
      <c r="U413" s="537"/>
    </row>
    <row r="414" spans="1:21" hidden="1" x14ac:dyDescent="0.2">
      <c r="A414" s="537" t="str">
        <f t="shared" si="12"/>
        <v>BLANK...</v>
      </c>
      <c r="B414" s="537" t="s">
        <v>193</v>
      </c>
      <c r="C414" s="537" t="str">
        <f t="shared" si="13"/>
        <v>..</v>
      </c>
      <c r="D414" s="537"/>
      <c r="E414" s="537"/>
      <c r="F414" s="537"/>
      <c r="G414" s="537"/>
      <c r="H414" s="537"/>
      <c r="I414" s="537"/>
      <c r="J414" s="537"/>
      <c r="K414" s="537"/>
      <c r="L414" s="537"/>
      <c r="M414" s="537"/>
      <c r="N414" s="537"/>
      <c r="O414" s="537"/>
      <c r="P414" s="537"/>
      <c r="Q414" s="537"/>
      <c r="R414" s="537"/>
      <c r="S414" s="537"/>
      <c r="T414" s="537"/>
      <c r="U414" s="537"/>
    </row>
    <row r="415" spans="1:21" hidden="1" x14ac:dyDescent="0.2">
      <c r="A415" s="537" t="str">
        <f t="shared" si="12"/>
        <v>BLANK...</v>
      </c>
      <c r="B415" s="537" t="s">
        <v>193</v>
      </c>
      <c r="C415" s="537" t="str">
        <f t="shared" si="13"/>
        <v>..</v>
      </c>
      <c r="D415" s="537"/>
      <c r="E415" s="537"/>
      <c r="F415" s="537"/>
      <c r="G415" s="537"/>
      <c r="H415" s="537"/>
      <c r="I415" s="537"/>
      <c r="J415" s="537"/>
      <c r="K415" s="537"/>
      <c r="L415" s="537"/>
      <c r="M415" s="537"/>
      <c r="N415" s="537"/>
      <c r="O415" s="537"/>
      <c r="P415" s="537"/>
      <c r="Q415" s="537"/>
      <c r="R415" s="537"/>
      <c r="S415" s="537"/>
      <c r="T415" s="537"/>
      <c r="U415" s="537"/>
    </row>
    <row r="416" spans="1:21" hidden="1" x14ac:dyDescent="0.2">
      <c r="A416" s="537" t="str">
        <f t="shared" si="12"/>
        <v>BLANK...</v>
      </c>
      <c r="B416" s="537" t="s">
        <v>193</v>
      </c>
      <c r="C416" s="537" t="str">
        <f t="shared" si="13"/>
        <v>..</v>
      </c>
      <c r="D416" s="537"/>
      <c r="E416" s="537"/>
      <c r="F416" s="537"/>
      <c r="G416" s="537"/>
      <c r="H416" s="537"/>
      <c r="I416" s="537"/>
      <c r="J416" s="537"/>
      <c r="K416" s="537"/>
      <c r="L416" s="537"/>
      <c r="M416" s="537"/>
      <c r="N416" s="537"/>
      <c r="O416" s="537"/>
      <c r="P416" s="537"/>
      <c r="Q416" s="537"/>
      <c r="R416" s="537"/>
      <c r="S416" s="537"/>
      <c r="T416" s="537"/>
      <c r="U416" s="537"/>
    </row>
    <row r="417" spans="1:21" hidden="1" x14ac:dyDescent="0.2">
      <c r="A417" s="537" t="str">
        <f t="shared" si="12"/>
        <v>BLANK...</v>
      </c>
      <c r="B417" s="537" t="s">
        <v>193</v>
      </c>
      <c r="C417" s="537" t="str">
        <f t="shared" si="13"/>
        <v>..</v>
      </c>
      <c r="D417" s="537"/>
      <c r="E417" s="537"/>
      <c r="F417" s="537"/>
      <c r="G417" s="537"/>
      <c r="H417" s="537"/>
      <c r="I417" s="537"/>
      <c r="J417" s="537"/>
      <c r="K417" s="537"/>
      <c r="L417" s="537"/>
      <c r="M417" s="537"/>
      <c r="N417" s="537"/>
      <c r="O417" s="537"/>
      <c r="P417" s="537"/>
      <c r="Q417" s="537"/>
      <c r="R417" s="537"/>
      <c r="S417" s="537"/>
      <c r="T417" s="537"/>
      <c r="U417" s="537"/>
    </row>
    <row r="418" spans="1:21" hidden="1" x14ac:dyDescent="0.2">
      <c r="A418" s="537" t="str">
        <f t="shared" si="12"/>
        <v>BLANK...</v>
      </c>
      <c r="B418" s="537" t="s">
        <v>193</v>
      </c>
      <c r="C418" s="537" t="str">
        <f t="shared" si="13"/>
        <v>..</v>
      </c>
      <c r="D418" s="537"/>
      <c r="E418" s="537"/>
      <c r="F418" s="537"/>
      <c r="G418" s="537"/>
      <c r="H418" s="537"/>
      <c r="I418" s="537"/>
      <c r="J418" s="537"/>
      <c r="K418" s="537"/>
      <c r="L418" s="537"/>
      <c r="M418" s="537"/>
      <c r="N418" s="537"/>
      <c r="O418" s="537"/>
      <c r="P418" s="537"/>
      <c r="Q418" s="537"/>
      <c r="R418" s="537"/>
      <c r="S418" s="537"/>
      <c r="T418" s="537"/>
      <c r="U418" s="537"/>
    </row>
    <row r="419" spans="1:21" hidden="1" x14ac:dyDescent="0.2">
      <c r="A419" s="537" t="str">
        <f t="shared" si="12"/>
        <v>BLANK...</v>
      </c>
      <c r="B419" s="537" t="s">
        <v>193</v>
      </c>
      <c r="C419" s="537" t="str">
        <f t="shared" si="13"/>
        <v>..</v>
      </c>
      <c r="D419" s="537"/>
      <c r="E419" s="537"/>
      <c r="F419" s="537"/>
      <c r="G419" s="537"/>
      <c r="H419" s="537"/>
      <c r="I419" s="537"/>
      <c r="J419" s="537"/>
      <c r="K419" s="537"/>
      <c r="L419" s="537"/>
      <c r="M419" s="537"/>
      <c r="N419" s="537"/>
      <c r="O419" s="537"/>
      <c r="P419" s="537"/>
      <c r="Q419" s="537"/>
      <c r="R419" s="537"/>
      <c r="S419" s="537"/>
      <c r="T419" s="537"/>
      <c r="U419" s="537"/>
    </row>
    <row r="420" spans="1:21" hidden="1" x14ac:dyDescent="0.2">
      <c r="A420" s="537" t="str">
        <f t="shared" si="12"/>
        <v>BLANK...</v>
      </c>
      <c r="B420" s="537" t="s">
        <v>193</v>
      </c>
      <c r="C420" s="537" t="str">
        <f t="shared" si="13"/>
        <v>..</v>
      </c>
      <c r="D420" s="537"/>
      <c r="E420" s="537"/>
      <c r="F420" s="537"/>
      <c r="G420" s="537"/>
      <c r="H420" s="537"/>
      <c r="I420" s="537"/>
      <c r="J420" s="537"/>
      <c r="K420" s="537"/>
      <c r="L420" s="537"/>
      <c r="M420" s="537"/>
      <c r="N420" s="537"/>
      <c r="O420" s="537"/>
      <c r="P420" s="537"/>
      <c r="Q420" s="537"/>
      <c r="R420" s="537"/>
      <c r="S420" s="537"/>
      <c r="T420" s="537"/>
      <c r="U420" s="537"/>
    </row>
    <row r="421" spans="1:21" hidden="1" x14ac:dyDescent="0.2">
      <c r="A421" s="537" t="str">
        <f t="shared" si="12"/>
        <v>BLANK...</v>
      </c>
      <c r="B421" s="537" t="s">
        <v>193</v>
      </c>
      <c r="C421" s="537" t="str">
        <f t="shared" si="13"/>
        <v>..</v>
      </c>
      <c r="D421" s="537"/>
      <c r="E421" s="537"/>
      <c r="F421" s="537"/>
      <c r="G421" s="537"/>
      <c r="H421" s="537"/>
      <c r="I421" s="537"/>
      <c r="J421" s="537"/>
      <c r="K421" s="537"/>
      <c r="L421" s="537"/>
      <c r="M421" s="537"/>
      <c r="N421" s="537"/>
      <c r="O421" s="537"/>
      <c r="P421" s="537"/>
      <c r="Q421" s="537"/>
      <c r="R421" s="537"/>
      <c r="S421" s="537"/>
      <c r="T421" s="537"/>
      <c r="U421" s="537"/>
    </row>
    <row r="422" spans="1:21" hidden="1" x14ac:dyDescent="0.2">
      <c r="A422" s="537" t="str">
        <f t="shared" si="12"/>
        <v>BLANK...</v>
      </c>
      <c r="B422" s="537" t="s">
        <v>193</v>
      </c>
      <c r="C422" s="537" t="str">
        <f t="shared" si="13"/>
        <v>..</v>
      </c>
      <c r="D422" s="537"/>
      <c r="E422" s="537"/>
      <c r="F422" s="537"/>
      <c r="G422" s="537"/>
      <c r="H422" s="537"/>
      <c r="I422" s="537"/>
      <c r="J422" s="537"/>
      <c r="K422" s="537"/>
      <c r="L422" s="537"/>
      <c r="M422" s="537"/>
      <c r="N422" s="537"/>
      <c r="O422" s="537"/>
      <c r="P422" s="537"/>
      <c r="Q422" s="537"/>
      <c r="R422" s="537"/>
      <c r="S422" s="537"/>
      <c r="T422" s="537"/>
      <c r="U422" s="537"/>
    </row>
    <row r="423" spans="1:21" hidden="1" x14ac:dyDescent="0.2">
      <c r="A423" s="537" t="str">
        <f t="shared" si="12"/>
        <v>BLANK...</v>
      </c>
      <c r="B423" s="537" t="s">
        <v>193</v>
      </c>
      <c r="C423" s="537" t="str">
        <f t="shared" si="13"/>
        <v>..</v>
      </c>
      <c r="D423" s="537"/>
      <c r="E423" s="537"/>
      <c r="F423" s="537"/>
      <c r="G423" s="537"/>
      <c r="H423" s="537"/>
      <c r="I423" s="537"/>
      <c r="J423" s="537"/>
      <c r="K423" s="537"/>
      <c r="L423" s="537"/>
      <c r="M423" s="537"/>
      <c r="N423" s="537"/>
      <c r="O423" s="537"/>
      <c r="P423" s="537"/>
      <c r="Q423" s="537"/>
      <c r="R423" s="537"/>
      <c r="S423" s="537"/>
      <c r="T423" s="537"/>
      <c r="U423" s="537"/>
    </row>
    <row r="424" spans="1:21" hidden="1" x14ac:dyDescent="0.2">
      <c r="A424" s="537" t="str">
        <f t="shared" si="12"/>
        <v>BLANK...</v>
      </c>
      <c r="B424" s="537" t="s">
        <v>193</v>
      </c>
      <c r="C424" s="537" t="str">
        <f t="shared" si="13"/>
        <v>..</v>
      </c>
      <c r="D424" s="537"/>
      <c r="E424" s="537"/>
      <c r="F424" s="537"/>
      <c r="G424" s="537"/>
      <c r="H424" s="537"/>
      <c r="I424" s="537"/>
      <c r="J424" s="537"/>
      <c r="K424" s="537"/>
      <c r="L424" s="537"/>
      <c r="M424" s="537"/>
      <c r="N424" s="537"/>
      <c r="O424" s="537"/>
      <c r="P424" s="537"/>
      <c r="Q424" s="537"/>
      <c r="R424" s="537"/>
      <c r="S424" s="537"/>
      <c r="T424" s="537"/>
      <c r="U424" s="537"/>
    </row>
    <row r="425" spans="1:21" hidden="1" x14ac:dyDescent="0.2">
      <c r="A425" s="537" t="str">
        <f t="shared" si="12"/>
        <v>BLANK...</v>
      </c>
      <c r="B425" s="537" t="s">
        <v>193</v>
      </c>
      <c r="C425" s="537" t="str">
        <f t="shared" si="13"/>
        <v>..</v>
      </c>
      <c r="D425" s="537"/>
      <c r="E425" s="537"/>
      <c r="F425" s="537"/>
      <c r="G425" s="537"/>
      <c r="H425" s="537"/>
      <c r="I425" s="537"/>
      <c r="J425" s="537"/>
      <c r="K425" s="537"/>
      <c r="L425" s="537"/>
      <c r="M425" s="537"/>
      <c r="N425" s="537"/>
      <c r="O425" s="537"/>
      <c r="P425" s="537"/>
      <c r="Q425" s="537"/>
      <c r="R425" s="537"/>
      <c r="S425" s="537"/>
      <c r="T425" s="537"/>
      <c r="U425" s="537"/>
    </row>
    <row r="426" spans="1:21" hidden="1" x14ac:dyDescent="0.2">
      <c r="A426" s="537" t="str">
        <f t="shared" si="12"/>
        <v>BLANK...</v>
      </c>
      <c r="B426" s="537" t="s">
        <v>193</v>
      </c>
      <c r="C426" s="537" t="str">
        <f t="shared" si="13"/>
        <v>..</v>
      </c>
      <c r="D426" s="537"/>
      <c r="E426" s="537"/>
      <c r="F426" s="537"/>
      <c r="G426" s="537"/>
      <c r="H426" s="537"/>
      <c r="I426" s="537"/>
      <c r="J426" s="537"/>
      <c r="K426" s="537"/>
      <c r="L426" s="537"/>
      <c r="M426" s="537"/>
      <c r="N426" s="537"/>
      <c r="O426" s="537"/>
      <c r="P426" s="537"/>
      <c r="Q426" s="537"/>
      <c r="R426" s="537"/>
      <c r="S426" s="537"/>
      <c r="T426" s="537"/>
      <c r="U426" s="537"/>
    </row>
    <row r="427" spans="1:21" hidden="1" x14ac:dyDescent="0.2">
      <c r="A427" s="537" t="str">
        <f t="shared" si="12"/>
        <v>BLANK...</v>
      </c>
      <c r="B427" s="537" t="s">
        <v>193</v>
      </c>
      <c r="C427" s="537" t="str">
        <f t="shared" si="13"/>
        <v>..</v>
      </c>
      <c r="D427" s="537"/>
      <c r="E427" s="537"/>
      <c r="F427" s="537"/>
      <c r="G427" s="537"/>
      <c r="H427" s="537"/>
      <c r="I427" s="537"/>
      <c r="J427" s="537"/>
      <c r="K427" s="537"/>
      <c r="L427" s="537"/>
      <c r="M427" s="537"/>
      <c r="N427" s="537"/>
      <c r="O427" s="537"/>
      <c r="P427" s="537"/>
      <c r="Q427" s="537"/>
      <c r="R427" s="537"/>
      <c r="S427" s="537"/>
      <c r="T427" s="537"/>
      <c r="U427" s="537"/>
    </row>
    <row r="428" spans="1:21" hidden="1" x14ac:dyDescent="0.2">
      <c r="A428" s="537" t="str">
        <f t="shared" si="12"/>
        <v>BLANK...</v>
      </c>
      <c r="B428" s="537" t="s">
        <v>193</v>
      </c>
      <c r="C428" s="537" t="str">
        <f t="shared" si="13"/>
        <v>..</v>
      </c>
      <c r="D428" s="537"/>
      <c r="E428" s="537"/>
      <c r="F428" s="537"/>
      <c r="G428" s="537"/>
      <c r="H428" s="537"/>
      <c r="I428" s="537"/>
      <c r="J428" s="537"/>
      <c r="K428" s="537"/>
      <c r="L428" s="537"/>
      <c r="M428" s="537"/>
      <c r="N428" s="537"/>
      <c r="O428" s="537"/>
      <c r="P428" s="537"/>
      <c r="Q428" s="537"/>
      <c r="R428" s="537"/>
      <c r="S428" s="537"/>
      <c r="T428" s="537"/>
      <c r="U428" s="537"/>
    </row>
    <row r="429" spans="1:21" hidden="1" x14ac:dyDescent="0.2">
      <c r="A429" s="537" t="str">
        <f t="shared" si="12"/>
        <v>BLANK...</v>
      </c>
      <c r="B429" s="537" t="s">
        <v>193</v>
      </c>
      <c r="C429" s="537" t="str">
        <f t="shared" si="13"/>
        <v>..</v>
      </c>
      <c r="D429" s="537"/>
      <c r="E429" s="537"/>
      <c r="F429" s="537"/>
      <c r="G429" s="537"/>
      <c r="H429" s="537"/>
      <c r="I429" s="537"/>
      <c r="J429" s="537"/>
      <c r="K429" s="537"/>
      <c r="L429" s="537"/>
      <c r="M429" s="537"/>
      <c r="N429" s="537"/>
      <c r="O429" s="537"/>
      <c r="P429" s="537"/>
      <c r="Q429" s="537"/>
      <c r="R429" s="537"/>
      <c r="S429" s="537"/>
      <c r="T429" s="537"/>
      <c r="U429" s="537"/>
    </row>
    <row r="430" spans="1:21" hidden="1" x14ac:dyDescent="0.2">
      <c r="A430" s="537" t="str">
        <f t="shared" si="12"/>
        <v>BLANK...</v>
      </c>
      <c r="B430" s="537" t="s">
        <v>193</v>
      </c>
      <c r="C430" s="537" t="str">
        <f t="shared" si="13"/>
        <v>..</v>
      </c>
      <c r="D430" s="537"/>
      <c r="E430" s="537"/>
      <c r="F430" s="537"/>
      <c r="G430" s="537"/>
      <c r="H430" s="537"/>
      <c r="I430" s="537"/>
      <c r="J430" s="537"/>
      <c r="K430" s="537"/>
      <c r="L430" s="537"/>
      <c r="M430" s="537"/>
      <c r="N430" s="537"/>
      <c r="O430" s="537"/>
      <c r="P430" s="537"/>
      <c r="Q430" s="537"/>
      <c r="R430" s="537"/>
      <c r="S430" s="537"/>
      <c r="T430" s="537"/>
      <c r="U430" s="537"/>
    </row>
    <row r="431" spans="1:21" hidden="1" x14ac:dyDescent="0.2">
      <c r="A431" s="537" t="str">
        <f t="shared" si="12"/>
        <v>BLANK...</v>
      </c>
      <c r="B431" s="537" t="s">
        <v>193</v>
      </c>
      <c r="C431" s="537" t="str">
        <f t="shared" si="13"/>
        <v>..</v>
      </c>
      <c r="D431" s="537"/>
      <c r="E431" s="537"/>
      <c r="F431" s="537"/>
      <c r="G431" s="537"/>
      <c r="H431" s="537"/>
      <c r="I431" s="537"/>
      <c r="J431" s="537"/>
      <c r="K431" s="537"/>
      <c r="L431" s="537"/>
      <c r="M431" s="537"/>
      <c r="N431" s="537"/>
      <c r="O431" s="537"/>
      <c r="P431" s="537"/>
      <c r="Q431" s="537"/>
      <c r="R431" s="537"/>
      <c r="S431" s="537"/>
      <c r="T431" s="537"/>
      <c r="U431" s="537"/>
    </row>
    <row r="432" spans="1:21" hidden="1" x14ac:dyDescent="0.2">
      <c r="A432" s="537" t="str">
        <f t="shared" si="12"/>
        <v>BLANK...</v>
      </c>
      <c r="B432" s="537" t="s">
        <v>193</v>
      </c>
      <c r="C432" s="537" t="str">
        <f t="shared" si="13"/>
        <v>..</v>
      </c>
      <c r="D432" s="537"/>
      <c r="E432" s="537"/>
      <c r="F432" s="537"/>
      <c r="G432" s="537"/>
      <c r="H432" s="537"/>
      <c r="I432" s="537"/>
      <c r="J432" s="537"/>
      <c r="K432" s="537"/>
      <c r="L432" s="537"/>
      <c r="M432" s="537"/>
      <c r="N432" s="537"/>
      <c r="O432" s="537"/>
      <c r="P432" s="537"/>
      <c r="Q432" s="537"/>
      <c r="R432" s="537"/>
      <c r="S432" s="537"/>
      <c r="T432" s="537"/>
      <c r="U432" s="537"/>
    </row>
    <row r="433" spans="1:21" hidden="1" x14ac:dyDescent="0.2">
      <c r="A433" s="537" t="str">
        <f t="shared" si="12"/>
        <v>BLANK...</v>
      </c>
      <c r="B433" s="537" t="s">
        <v>193</v>
      </c>
      <c r="C433" s="537" t="str">
        <f t="shared" si="13"/>
        <v>..</v>
      </c>
      <c r="D433" s="537"/>
      <c r="E433" s="537"/>
      <c r="F433" s="537"/>
      <c r="G433" s="537"/>
      <c r="H433" s="537"/>
      <c r="I433" s="537"/>
      <c r="J433" s="537"/>
      <c r="K433" s="537"/>
      <c r="L433" s="537"/>
      <c r="M433" s="537"/>
      <c r="N433" s="537"/>
      <c r="O433" s="537"/>
      <c r="P433" s="537"/>
      <c r="Q433" s="537"/>
      <c r="R433" s="537"/>
      <c r="S433" s="537"/>
      <c r="T433" s="537"/>
      <c r="U433" s="537"/>
    </row>
    <row r="434" spans="1:21" hidden="1" x14ac:dyDescent="0.2">
      <c r="A434" s="537" t="str">
        <f t="shared" si="12"/>
        <v>BLANK...</v>
      </c>
      <c r="B434" s="537" t="s">
        <v>193</v>
      </c>
      <c r="C434" s="537" t="str">
        <f t="shared" si="13"/>
        <v>..</v>
      </c>
      <c r="D434" s="537"/>
      <c r="E434" s="537"/>
      <c r="F434" s="537"/>
      <c r="G434" s="537"/>
      <c r="H434" s="537"/>
      <c r="I434" s="537"/>
      <c r="J434" s="537"/>
      <c r="K434" s="537"/>
      <c r="L434" s="537"/>
      <c r="M434" s="537"/>
      <c r="N434" s="537"/>
      <c r="O434" s="537"/>
      <c r="P434" s="537"/>
      <c r="Q434" s="537"/>
      <c r="R434" s="537"/>
      <c r="S434" s="537"/>
      <c r="T434" s="537"/>
      <c r="U434" s="537"/>
    </row>
    <row r="435" spans="1:21" hidden="1" x14ac:dyDescent="0.2">
      <c r="A435" s="537" t="str">
        <f t="shared" si="12"/>
        <v>BLANK...</v>
      </c>
      <c r="B435" s="537" t="s">
        <v>193</v>
      </c>
      <c r="C435" s="537" t="str">
        <f t="shared" si="13"/>
        <v>..</v>
      </c>
      <c r="D435" s="537"/>
      <c r="E435" s="537"/>
      <c r="F435" s="537"/>
      <c r="G435" s="537"/>
      <c r="H435" s="537"/>
      <c r="I435" s="537"/>
      <c r="J435" s="537"/>
      <c r="K435" s="537"/>
      <c r="L435" s="537"/>
      <c r="M435" s="537"/>
      <c r="N435" s="537"/>
      <c r="O435" s="537"/>
      <c r="P435" s="537"/>
      <c r="Q435" s="537"/>
      <c r="R435" s="537"/>
      <c r="S435" s="537"/>
      <c r="T435" s="537"/>
      <c r="U435" s="537"/>
    </row>
    <row r="436" spans="1:21" hidden="1" x14ac:dyDescent="0.2">
      <c r="A436" s="537" t="str">
        <f t="shared" si="12"/>
        <v>BLANK...</v>
      </c>
      <c r="B436" s="537" t="s">
        <v>193</v>
      </c>
      <c r="C436" s="537" t="str">
        <f t="shared" si="13"/>
        <v>..</v>
      </c>
      <c r="D436" s="537"/>
      <c r="E436" s="537"/>
      <c r="F436" s="537"/>
      <c r="G436" s="537"/>
      <c r="H436" s="537"/>
      <c r="I436" s="537"/>
      <c r="J436" s="537"/>
      <c r="K436" s="537"/>
      <c r="L436" s="537"/>
      <c r="M436" s="537"/>
      <c r="N436" s="537"/>
      <c r="O436" s="537"/>
      <c r="P436" s="537"/>
      <c r="Q436" s="537"/>
      <c r="R436" s="537"/>
      <c r="S436" s="537"/>
      <c r="T436" s="537"/>
      <c r="U436" s="537"/>
    </row>
    <row r="437" spans="1:21" hidden="1" x14ac:dyDescent="0.2">
      <c r="A437" s="537" t="str">
        <f t="shared" si="12"/>
        <v>BLANK...</v>
      </c>
      <c r="B437" s="537" t="s">
        <v>193</v>
      </c>
      <c r="C437" s="537" t="str">
        <f t="shared" si="13"/>
        <v>..</v>
      </c>
      <c r="D437" s="537"/>
      <c r="E437" s="537"/>
      <c r="F437" s="537"/>
      <c r="G437" s="537"/>
      <c r="H437" s="537"/>
      <c r="I437" s="537"/>
      <c r="J437" s="537"/>
      <c r="K437" s="537"/>
      <c r="L437" s="537"/>
      <c r="M437" s="537"/>
      <c r="N437" s="537"/>
      <c r="O437" s="537"/>
      <c r="P437" s="537"/>
      <c r="Q437" s="537"/>
      <c r="R437" s="537"/>
      <c r="S437" s="537"/>
      <c r="T437" s="537"/>
      <c r="U437" s="537"/>
    </row>
    <row r="438" spans="1:21" hidden="1" x14ac:dyDescent="0.2">
      <c r="A438" s="537" t="str">
        <f t="shared" si="12"/>
        <v>BLANK...</v>
      </c>
      <c r="B438" s="537" t="s">
        <v>193</v>
      </c>
      <c r="C438" s="537" t="str">
        <f t="shared" si="13"/>
        <v>..</v>
      </c>
      <c r="D438" s="537"/>
      <c r="E438" s="537"/>
      <c r="F438" s="537"/>
      <c r="G438" s="537"/>
      <c r="H438" s="537"/>
      <c r="I438" s="537"/>
      <c r="J438" s="537"/>
      <c r="K438" s="537"/>
      <c r="L438" s="537"/>
      <c r="M438" s="537"/>
      <c r="N438" s="537"/>
      <c r="O438" s="537"/>
      <c r="P438" s="537"/>
      <c r="Q438" s="537"/>
      <c r="R438" s="537"/>
      <c r="S438" s="537"/>
      <c r="T438" s="537"/>
      <c r="U438" s="537"/>
    </row>
    <row r="439" spans="1:21" hidden="1" x14ac:dyDescent="0.2">
      <c r="A439" s="537" t="str">
        <f t="shared" si="12"/>
        <v>BLANK...</v>
      </c>
      <c r="B439" s="537" t="s">
        <v>193</v>
      </c>
      <c r="C439" s="537" t="str">
        <f t="shared" si="13"/>
        <v>..</v>
      </c>
      <c r="D439" s="537"/>
      <c r="E439" s="537"/>
      <c r="F439" s="537"/>
      <c r="G439" s="537"/>
      <c r="H439" s="537"/>
      <c r="I439" s="537"/>
      <c r="J439" s="537"/>
      <c r="K439" s="537"/>
      <c r="L439" s="537"/>
      <c r="M439" s="537"/>
      <c r="N439" s="537"/>
      <c r="O439" s="537"/>
      <c r="P439" s="537"/>
      <c r="Q439" s="537"/>
      <c r="R439" s="537"/>
      <c r="S439" s="537"/>
      <c r="T439" s="537"/>
      <c r="U439" s="537"/>
    </row>
    <row r="440" spans="1:21" hidden="1" x14ac:dyDescent="0.2">
      <c r="A440" s="537" t="str">
        <f t="shared" si="12"/>
        <v>BLANK...</v>
      </c>
      <c r="B440" s="537" t="s">
        <v>193</v>
      </c>
      <c r="C440" s="537" t="str">
        <f t="shared" si="13"/>
        <v>..</v>
      </c>
      <c r="D440" s="537"/>
      <c r="E440" s="537"/>
      <c r="F440" s="537"/>
      <c r="G440" s="537"/>
      <c r="H440" s="537"/>
      <c r="I440" s="537"/>
      <c r="J440" s="537"/>
      <c r="K440" s="537"/>
      <c r="L440" s="537"/>
      <c r="M440" s="537"/>
      <c r="N440" s="537"/>
      <c r="O440" s="537"/>
      <c r="P440" s="537"/>
      <c r="Q440" s="537"/>
      <c r="R440" s="537"/>
      <c r="S440" s="537"/>
      <c r="T440" s="537"/>
      <c r="U440" s="537"/>
    </row>
    <row r="441" spans="1:21" hidden="1" x14ac:dyDescent="0.2">
      <c r="A441" s="537" t="str">
        <f t="shared" si="12"/>
        <v>BLANK...</v>
      </c>
      <c r="B441" s="537" t="s">
        <v>193</v>
      </c>
      <c r="C441" s="537" t="str">
        <f t="shared" si="13"/>
        <v>..</v>
      </c>
      <c r="D441" s="537"/>
      <c r="E441" s="537"/>
      <c r="F441" s="537"/>
      <c r="G441" s="537"/>
      <c r="H441" s="537"/>
      <c r="I441" s="537"/>
      <c r="J441" s="537"/>
      <c r="K441" s="537"/>
      <c r="L441" s="537"/>
      <c r="M441" s="537"/>
      <c r="N441" s="537"/>
      <c r="O441" s="537"/>
      <c r="P441" s="537"/>
      <c r="Q441" s="537"/>
      <c r="R441" s="537"/>
      <c r="S441" s="537"/>
      <c r="T441" s="537"/>
      <c r="U441" s="537"/>
    </row>
    <row r="442" spans="1:21" hidden="1" x14ac:dyDescent="0.2">
      <c r="A442" s="537" t="str">
        <f t="shared" si="12"/>
        <v>BLANK...</v>
      </c>
      <c r="B442" s="537" t="s">
        <v>193</v>
      </c>
      <c r="C442" s="537" t="str">
        <f t="shared" si="13"/>
        <v>..</v>
      </c>
      <c r="D442" s="537"/>
      <c r="E442" s="537"/>
      <c r="F442" s="537"/>
      <c r="G442" s="537"/>
      <c r="H442" s="537"/>
      <c r="I442" s="537"/>
      <c r="J442" s="537"/>
      <c r="K442" s="537"/>
      <c r="L442" s="537"/>
      <c r="M442" s="537"/>
      <c r="N442" s="537"/>
      <c r="O442" s="537"/>
      <c r="P442" s="537"/>
      <c r="Q442" s="537"/>
      <c r="R442" s="537"/>
      <c r="S442" s="537"/>
      <c r="T442" s="537"/>
      <c r="U442" s="537"/>
    </row>
    <row r="443" spans="1:21" hidden="1" x14ac:dyDescent="0.2">
      <c r="A443" s="537" t="str">
        <f t="shared" si="12"/>
        <v>BLANK...</v>
      </c>
      <c r="B443" s="537" t="s">
        <v>193</v>
      </c>
      <c r="C443" s="537" t="str">
        <f t="shared" si="13"/>
        <v>..</v>
      </c>
      <c r="D443" s="537"/>
      <c r="E443" s="537"/>
      <c r="F443" s="537"/>
      <c r="G443" s="537"/>
      <c r="H443" s="537"/>
      <c r="I443" s="537"/>
      <c r="J443" s="537"/>
      <c r="K443" s="537"/>
      <c r="L443" s="537"/>
      <c r="M443" s="537"/>
      <c r="N443" s="537"/>
      <c r="O443" s="537"/>
      <c r="P443" s="537"/>
      <c r="Q443" s="537"/>
      <c r="R443" s="537"/>
      <c r="S443" s="537"/>
      <c r="T443" s="537"/>
      <c r="U443" s="537"/>
    </row>
    <row r="444" spans="1:21" hidden="1" x14ac:dyDescent="0.2">
      <c r="A444" s="537" t="str">
        <f t="shared" si="12"/>
        <v>BLANK...</v>
      </c>
      <c r="B444" s="537" t="s">
        <v>193</v>
      </c>
      <c r="C444" s="537" t="str">
        <f t="shared" si="13"/>
        <v>..</v>
      </c>
      <c r="D444" s="537"/>
      <c r="E444" s="537"/>
      <c r="F444" s="537"/>
      <c r="G444" s="537"/>
      <c r="H444" s="537"/>
      <c r="I444" s="537"/>
      <c r="J444" s="537"/>
      <c r="K444" s="537"/>
      <c r="L444" s="537"/>
      <c r="M444" s="537"/>
      <c r="N444" s="537"/>
      <c r="O444" s="537"/>
      <c r="P444" s="537"/>
      <c r="Q444" s="537"/>
      <c r="R444" s="537"/>
      <c r="S444" s="537"/>
      <c r="T444" s="537"/>
      <c r="U444" s="537"/>
    </row>
    <row r="445" spans="1:21" hidden="1" x14ac:dyDescent="0.2">
      <c r="A445" s="537" t="str">
        <f t="shared" si="12"/>
        <v>BLANK...</v>
      </c>
      <c r="B445" s="537" t="s">
        <v>193</v>
      </c>
      <c r="C445" s="537" t="str">
        <f t="shared" si="13"/>
        <v>..</v>
      </c>
      <c r="D445" s="537"/>
      <c r="E445" s="537"/>
      <c r="F445" s="537"/>
      <c r="G445" s="537"/>
      <c r="H445" s="537"/>
      <c r="I445" s="537"/>
      <c r="J445" s="537"/>
      <c r="K445" s="537"/>
      <c r="L445" s="537"/>
      <c r="M445" s="537"/>
      <c r="N445" s="537"/>
      <c r="O445" s="537"/>
      <c r="P445" s="537"/>
      <c r="Q445" s="537"/>
      <c r="R445" s="537"/>
      <c r="S445" s="537"/>
      <c r="T445" s="537"/>
      <c r="U445" s="537"/>
    </row>
    <row r="446" spans="1:21" hidden="1" x14ac:dyDescent="0.2">
      <c r="A446" s="537" t="str">
        <f t="shared" si="12"/>
        <v>BLANK...</v>
      </c>
      <c r="B446" s="537" t="s">
        <v>193</v>
      </c>
      <c r="C446" s="537" t="str">
        <f t="shared" si="13"/>
        <v>..</v>
      </c>
      <c r="D446" s="537"/>
      <c r="E446" s="537"/>
      <c r="F446" s="537"/>
      <c r="G446" s="537"/>
      <c r="H446" s="537"/>
      <c r="I446" s="537"/>
      <c r="J446" s="537"/>
      <c r="K446" s="537"/>
      <c r="L446" s="537"/>
      <c r="M446" s="537"/>
      <c r="N446" s="537"/>
      <c r="O446" s="537"/>
      <c r="P446" s="537"/>
      <c r="Q446" s="537"/>
      <c r="R446" s="537"/>
      <c r="S446" s="537"/>
      <c r="T446" s="537"/>
      <c r="U446" s="537"/>
    </row>
    <row r="447" spans="1:21" hidden="1" x14ac:dyDescent="0.2">
      <c r="A447" s="537" t="str">
        <f t="shared" si="12"/>
        <v>BLANK...</v>
      </c>
      <c r="B447" s="537" t="s">
        <v>193</v>
      </c>
      <c r="C447" s="537" t="str">
        <f t="shared" si="13"/>
        <v>..</v>
      </c>
      <c r="D447" s="537"/>
      <c r="E447" s="537"/>
      <c r="F447" s="537"/>
      <c r="G447" s="537"/>
      <c r="H447" s="537"/>
      <c r="I447" s="537"/>
      <c r="J447" s="537"/>
      <c r="K447" s="537"/>
      <c r="L447" s="537"/>
      <c r="M447" s="537"/>
      <c r="N447" s="537"/>
      <c r="O447" s="537"/>
      <c r="P447" s="537"/>
      <c r="Q447" s="537"/>
      <c r="R447" s="537"/>
      <c r="S447" s="537"/>
      <c r="T447" s="537"/>
      <c r="U447" s="537"/>
    </row>
    <row r="448" spans="1:21" hidden="1" x14ac:dyDescent="0.2">
      <c r="A448" s="537" t="str">
        <f t="shared" si="12"/>
        <v>BLANK...</v>
      </c>
      <c r="B448" s="537" t="s">
        <v>193</v>
      </c>
      <c r="C448" s="537" t="str">
        <f t="shared" si="13"/>
        <v>..</v>
      </c>
      <c r="D448" s="537"/>
      <c r="E448" s="537"/>
      <c r="F448" s="537"/>
      <c r="G448" s="537"/>
      <c r="H448" s="537"/>
      <c r="I448" s="537"/>
      <c r="J448" s="537"/>
      <c r="K448" s="537"/>
      <c r="L448" s="537"/>
      <c r="M448" s="537"/>
      <c r="N448" s="537"/>
      <c r="O448" s="537"/>
      <c r="P448" s="537"/>
      <c r="Q448" s="537"/>
      <c r="R448" s="537"/>
      <c r="S448" s="537"/>
      <c r="T448" s="537"/>
      <c r="U448" s="537"/>
    </row>
    <row r="449" spans="1:21" hidden="1" x14ac:dyDescent="0.2">
      <c r="A449" s="537" t="str">
        <f t="shared" si="12"/>
        <v>BLANK...</v>
      </c>
      <c r="B449" s="537" t="s">
        <v>193</v>
      </c>
      <c r="C449" s="537" t="str">
        <f t="shared" si="13"/>
        <v>..</v>
      </c>
      <c r="D449" s="537"/>
      <c r="E449" s="537"/>
      <c r="F449" s="537"/>
      <c r="G449" s="537"/>
      <c r="H449" s="537"/>
      <c r="I449" s="537"/>
      <c r="J449" s="537"/>
      <c r="K449" s="537"/>
      <c r="L449" s="537"/>
      <c r="M449" s="537"/>
      <c r="N449" s="537"/>
      <c r="O449" s="537"/>
      <c r="P449" s="537"/>
      <c r="Q449" s="537"/>
      <c r="R449" s="537"/>
      <c r="S449" s="537"/>
      <c r="T449" s="537"/>
      <c r="U449" s="537"/>
    </row>
    <row r="450" spans="1:21" hidden="1" x14ac:dyDescent="0.2">
      <c r="A450" s="537" t="str">
        <f t="shared" si="12"/>
        <v>BLANK...</v>
      </c>
      <c r="B450" s="537" t="s">
        <v>193</v>
      </c>
      <c r="C450" s="537" t="str">
        <f t="shared" si="13"/>
        <v>..</v>
      </c>
      <c r="D450" s="537"/>
      <c r="E450" s="537"/>
      <c r="F450" s="537"/>
      <c r="G450" s="537"/>
      <c r="H450" s="537"/>
      <c r="I450" s="537"/>
      <c r="J450" s="537"/>
      <c r="K450" s="537"/>
      <c r="L450" s="537"/>
      <c r="M450" s="537"/>
      <c r="N450" s="537"/>
      <c r="O450" s="537"/>
      <c r="P450" s="537"/>
      <c r="Q450" s="537"/>
      <c r="R450" s="537"/>
      <c r="S450" s="537"/>
      <c r="T450" s="537"/>
      <c r="U450" s="537"/>
    </row>
    <row r="451" spans="1:21" hidden="1" x14ac:dyDescent="0.2">
      <c r="A451" s="537" t="str">
        <f t="shared" si="12"/>
        <v>BLANK...</v>
      </c>
      <c r="B451" s="537" t="s">
        <v>193</v>
      </c>
      <c r="C451" s="537" t="str">
        <f t="shared" si="13"/>
        <v>..</v>
      </c>
      <c r="D451" s="537"/>
      <c r="E451" s="537"/>
      <c r="F451" s="537"/>
      <c r="G451" s="537"/>
      <c r="H451" s="537"/>
      <c r="I451" s="537"/>
      <c r="J451" s="537"/>
      <c r="K451" s="537"/>
      <c r="L451" s="537"/>
      <c r="M451" s="537"/>
      <c r="N451" s="537"/>
      <c r="O451" s="537"/>
      <c r="P451" s="537"/>
      <c r="Q451" s="537"/>
      <c r="R451" s="537"/>
      <c r="S451" s="537"/>
      <c r="T451" s="537"/>
      <c r="U451" s="537"/>
    </row>
    <row r="452" spans="1:21" hidden="1" x14ac:dyDescent="0.2">
      <c r="A452" s="537" t="str">
        <f t="shared" si="12"/>
        <v>BLANK...</v>
      </c>
      <c r="B452" s="537" t="s">
        <v>193</v>
      </c>
      <c r="C452" s="537" t="str">
        <f t="shared" si="13"/>
        <v>..</v>
      </c>
      <c r="D452" s="537"/>
      <c r="E452" s="537"/>
      <c r="F452" s="537"/>
      <c r="G452" s="537"/>
      <c r="H452" s="537"/>
      <c r="I452" s="537"/>
      <c r="J452" s="537"/>
      <c r="K452" s="537"/>
      <c r="L452" s="537"/>
      <c r="M452" s="537"/>
      <c r="N452" s="537"/>
      <c r="O452" s="537"/>
      <c r="P452" s="537"/>
      <c r="Q452" s="537"/>
      <c r="R452" s="537"/>
      <c r="S452" s="537"/>
      <c r="T452" s="537"/>
      <c r="U452" s="537"/>
    </row>
    <row r="453" spans="1:21" hidden="1" x14ac:dyDescent="0.2">
      <c r="A453" s="537" t="str">
        <f t="shared" si="12"/>
        <v>BLANK...</v>
      </c>
      <c r="B453" s="537" t="s">
        <v>193</v>
      </c>
      <c r="C453" s="537" t="str">
        <f t="shared" si="13"/>
        <v>..</v>
      </c>
      <c r="D453" s="537"/>
      <c r="E453" s="537"/>
      <c r="F453" s="537"/>
      <c r="G453" s="537"/>
      <c r="H453" s="537"/>
      <c r="I453" s="537"/>
      <c r="J453" s="537"/>
      <c r="K453" s="537"/>
      <c r="L453" s="537"/>
      <c r="M453" s="537"/>
      <c r="N453" s="537"/>
      <c r="O453" s="537"/>
      <c r="P453" s="537"/>
      <c r="Q453" s="537"/>
      <c r="R453" s="537"/>
      <c r="S453" s="537"/>
      <c r="T453" s="537"/>
      <c r="U453" s="537"/>
    </row>
    <row r="454" spans="1:21" hidden="1" x14ac:dyDescent="0.2">
      <c r="A454" s="537" t="str">
        <f t="shared" si="12"/>
        <v>BLANK...</v>
      </c>
      <c r="B454" s="537" t="s">
        <v>193</v>
      </c>
      <c r="C454" s="537" t="str">
        <f t="shared" si="13"/>
        <v>..</v>
      </c>
      <c r="D454" s="537"/>
      <c r="E454" s="537"/>
      <c r="F454" s="537"/>
      <c r="G454" s="537"/>
      <c r="H454" s="537"/>
      <c r="I454" s="537"/>
      <c r="J454" s="537"/>
      <c r="K454" s="537"/>
      <c r="L454" s="537"/>
      <c r="M454" s="537"/>
      <c r="N454" s="537"/>
      <c r="O454" s="537"/>
      <c r="P454" s="537"/>
      <c r="Q454" s="537"/>
      <c r="R454" s="537"/>
      <c r="S454" s="537"/>
      <c r="T454" s="537"/>
      <c r="U454" s="537"/>
    </row>
    <row r="455" spans="1:21" hidden="1" x14ac:dyDescent="0.2">
      <c r="A455" s="537" t="str">
        <f t="shared" si="12"/>
        <v>BLANK...</v>
      </c>
      <c r="B455" s="537" t="s">
        <v>193</v>
      </c>
      <c r="C455" s="537" t="str">
        <f t="shared" si="13"/>
        <v>..</v>
      </c>
      <c r="D455" s="537"/>
      <c r="E455" s="537"/>
      <c r="F455" s="537"/>
      <c r="G455" s="537"/>
      <c r="H455" s="537"/>
      <c r="I455" s="537"/>
      <c r="J455" s="537"/>
      <c r="K455" s="537"/>
      <c r="L455" s="537"/>
      <c r="M455" s="537"/>
      <c r="N455" s="537"/>
      <c r="O455" s="537"/>
      <c r="P455" s="537"/>
      <c r="Q455" s="537"/>
      <c r="R455" s="537"/>
      <c r="S455" s="537"/>
      <c r="T455" s="537"/>
      <c r="U455" s="537"/>
    </row>
    <row r="456" spans="1:21" hidden="1" x14ac:dyDescent="0.2">
      <c r="A456" s="537" t="str">
        <f t="shared" si="12"/>
        <v>BLANK...</v>
      </c>
      <c r="B456" s="537" t="s">
        <v>193</v>
      </c>
      <c r="C456" s="537" t="str">
        <f t="shared" si="13"/>
        <v>..</v>
      </c>
      <c r="D456" s="537"/>
      <c r="E456" s="537"/>
      <c r="F456" s="537"/>
      <c r="G456" s="537"/>
      <c r="H456" s="537"/>
      <c r="I456" s="537"/>
      <c r="J456" s="537"/>
      <c r="K456" s="537"/>
      <c r="L456" s="537"/>
      <c r="M456" s="537"/>
      <c r="N456" s="537"/>
      <c r="O456" s="537"/>
      <c r="P456" s="537"/>
      <c r="Q456" s="537"/>
      <c r="R456" s="537"/>
      <c r="S456" s="537"/>
      <c r="T456" s="537"/>
      <c r="U456" s="537"/>
    </row>
    <row r="457" spans="1:21" hidden="1" x14ac:dyDescent="0.2">
      <c r="A457" s="537" t="str">
        <f t="shared" ref="A457:A520" si="14">B457&amp;"."&amp;D457&amp;"."&amp;E457&amp;"."&amp;F457</f>
        <v>BLANK...</v>
      </c>
      <c r="B457" s="537" t="s">
        <v>193</v>
      </c>
      <c r="C457" s="537" t="str">
        <f t="shared" ref="C457:C520" si="15">D457&amp;"."&amp;E457&amp;"."&amp;F457</f>
        <v>..</v>
      </c>
      <c r="D457" s="537"/>
      <c r="E457" s="537"/>
      <c r="F457" s="537"/>
      <c r="G457" s="537"/>
      <c r="H457" s="537"/>
      <c r="I457" s="537"/>
      <c r="J457" s="537"/>
      <c r="K457" s="537"/>
      <c r="L457" s="537"/>
      <c r="M457" s="537"/>
      <c r="N457" s="537"/>
      <c r="O457" s="537"/>
      <c r="P457" s="537"/>
      <c r="Q457" s="537"/>
      <c r="R457" s="537"/>
      <c r="S457" s="537"/>
      <c r="T457" s="537"/>
      <c r="U457" s="537"/>
    </row>
    <row r="458" spans="1:21" hidden="1" x14ac:dyDescent="0.2">
      <c r="A458" s="537" t="str">
        <f t="shared" si="14"/>
        <v>BLANK...</v>
      </c>
      <c r="B458" s="537" t="s">
        <v>193</v>
      </c>
      <c r="C458" s="537" t="str">
        <f t="shared" si="15"/>
        <v>..</v>
      </c>
      <c r="D458" s="537"/>
      <c r="E458" s="537"/>
      <c r="F458" s="537"/>
      <c r="G458" s="537"/>
      <c r="H458" s="537"/>
      <c r="I458" s="537"/>
      <c r="J458" s="537"/>
      <c r="K458" s="537"/>
      <c r="L458" s="537"/>
      <c r="M458" s="537"/>
      <c r="N458" s="537"/>
      <c r="O458" s="537"/>
      <c r="P458" s="537"/>
      <c r="Q458" s="537"/>
      <c r="R458" s="537"/>
      <c r="S458" s="537"/>
      <c r="T458" s="537"/>
      <c r="U458" s="537"/>
    </row>
    <row r="459" spans="1:21" hidden="1" x14ac:dyDescent="0.2">
      <c r="A459" s="537" t="str">
        <f t="shared" si="14"/>
        <v>BLANK...</v>
      </c>
      <c r="B459" s="537" t="s">
        <v>193</v>
      </c>
      <c r="C459" s="537" t="str">
        <f t="shared" si="15"/>
        <v>..</v>
      </c>
      <c r="D459" s="537"/>
      <c r="E459" s="537"/>
      <c r="F459" s="537"/>
      <c r="G459" s="537"/>
      <c r="H459" s="537"/>
      <c r="I459" s="537"/>
      <c r="J459" s="537"/>
      <c r="K459" s="537"/>
      <c r="L459" s="537"/>
      <c r="M459" s="537"/>
      <c r="N459" s="537"/>
      <c r="O459" s="537"/>
      <c r="P459" s="537"/>
      <c r="Q459" s="537"/>
      <c r="R459" s="537"/>
      <c r="S459" s="537"/>
      <c r="T459" s="537"/>
      <c r="U459" s="537"/>
    </row>
    <row r="460" spans="1:21" hidden="1" x14ac:dyDescent="0.2">
      <c r="A460" s="537" t="str">
        <f t="shared" si="14"/>
        <v>BLANK...</v>
      </c>
      <c r="B460" s="537" t="s">
        <v>193</v>
      </c>
      <c r="C460" s="537" t="str">
        <f t="shared" si="15"/>
        <v>..</v>
      </c>
      <c r="D460" s="537"/>
      <c r="E460" s="537"/>
      <c r="F460" s="537"/>
      <c r="G460" s="537"/>
      <c r="H460" s="537"/>
      <c r="I460" s="537"/>
      <c r="J460" s="537"/>
      <c r="K460" s="537"/>
      <c r="L460" s="537"/>
      <c r="M460" s="537"/>
      <c r="N460" s="537"/>
      <c r="O460" s="537"/>
      <c r="P460" s="537"/>
      <c r="Q460" s="537"/>
      <c r="R460" s="537"/>
      <c r="S460" s="537"/>
      <c r="T460" s="537"/>
      <c r="U460" s="537"/>
    </row>
    <row r="461" spans="1:21" hidden="1" x14ac:dyDescent="0.2">
      <c r="A461" s="537" t="str">
        <f t="shared" si="14"/>
        <v>BLANK...</v>
      </c>
      <c r="B461" s="537" t="s">
        <v>193</v>
      </c>
      <c r="C461" s="537" t="str">
        <f t="shared" si="15"/>
        <v>..</v>
      </c>
      <c r="D461" s="537"/>
      <c r="E461" s="537"/>
      <c r="F461" s="537"/>
      <c r="G461" s="537"/>
      <c r="H461" s="537"/>
      <c r="I461" s="537"/>
      <c r="J461" s="537"/>
      <c r="K461" s="537"/>
      <c r="L461" s="537"/>
      <c r="M461" s="537"/>
      <c r="N461" s="537"/>
      <c r="O461" s="537"/>
      <c r="P461" s="537"/>
      <c r="Q461" s="537"/>
      <c r="R461" s="537"/>
      <c r="S461" s="537"/>
      <c r="T461" s="537"/>
      <c r="U461" s="537"/>
    </row>
    <row r="462" spans="1:21" hidden="1" x14ac:dyDescent="0.2">
      <c r="A462" s="537" t="str">
        <f t="shared" si="14"/>
        <v>BLANK...</v>
      </c>
      <c r="B462" s="537" t="s">
        <v>193</v>
      </c>
      <c r="C462" s="537" t="str">
        <f t="shared" si="15"/>
        <v>..</v>
      </c>
      <c r="D462" s="537"/>
      <c r="E462" s="537"/>
      <c r="F462" s="537"/>
      <c r="G462" s="537"/>
      <c r="H462" s="537"/>
      <c r="I462" s="537"/>
      <c r="J462" s="537"/>
      <c r="K462" s="537"/>
      <c r="L462" s="537"/>
      <c r="M462" s="537"/>
      <c r="N462" s="537"/>
      <c r="O462" s="537"/>
      <c r="P462" s="537"/>
      <c r="Q462" s="537"/>
      <c r="R462" s="537"/>
      <c r="S462" s="537"/>
      <c r="T462" s="537"/>
      <c r="U462" s="537"/>
    </row>
    <row r="463" spans="1:21" hidden="1" x14ac:dyDescent="0.2">
      <c r="A463" s="537" t="str">
        <f t="shared" si="14"/>
        <v>BLANK...</v>
      </c>
      <c r="B463" s="537" t="s">
        <v>193</v>
      </c>
      <c r="C463" s="537" t="str">
        <f t="shared" si="15"/>
        <v>..</v>
      </c>
      <c r="D463" s="537"/>
      <c r="E463" s="537"/>
      <c r="F463" s="537"/>
      <c r="G463" s="537"/>
      <c r="H463" s="537"/>
      <c r="I463" s="537"/>
      <c r="J463" s="537"/>
      <c r="K463" s="537"/>
      <c r="L463" s="537"/>
      <c r="M463" s="537"/>
      <c r="N463" s="537"/>
      <c r="O463" s="537"/>
      <c r="P463" s="537"/>
      <c r="Q463" s="537"/>
      <c r="R463" s="537"/>
      <c r="S463" s="537"/>
      <c r="T463" s="537"/>
      <c r="U463" s="537"/>
    </row>
    <row r="464" spans="1:21" hidden="1" x14ac:dyDescent="0.2">
      <c r="A464" s="537" t="str">
        <f t="shared" si="14"/>
        <v>BLANK...</v>
      </c>
      <c r="B464" s="537" t="s">
        <v>193</v>
      </c>
      <c r="C464" s="537" t="str">
        <f t="shared" si="15"/>
        <v>..</v>
      </c>
      <c r="D464" s="537"/>
      <c r="E464" s="537"/>
      <c r="F464" s="537"/>
      <c r="G464" s="537"/>
      <c r="H464" s="537"/>
      <c r="I464" s="537"/>
      <c r="J464" s="537"/>
      <c r="K464" s="537"/>
      <c r="L464" s="537"/>
      <c r="M464" s="537"/>
      <c r="N464" s="537"/>
      <c r="O464" s="537"/>
      <c r="P464" s="537"/>
      <c r="Q464" s="537"/>
      <c r="R464" s="537"/>
      <c r="S464" s="537"/>
      <c r="T464" s="537"/>
      <c r="U464" s="537"/>
    </row>
    <row r="465" spans="1:21" hidden="1" x14ac:dyDescent="0.2">
      <c r="A465" s="537" t="str">
        <f t="shared" si="14"/>
        <v>BLANK...</v>
      </c>
      <c r="B465" s="537" t="s">
        <v>193</v>
      </c>
      <c r="C465" s="537" t="str">
        <f t="shared" si="15"/>
        <v>..</v>
      </c>
      <c r="D465" s="537"/>
      <c r="E465" s="537"/>
      <c r="F465" s="537"/>
      <c r="G465" s="537"/>
      <c r="H465" s="537"/>
      <c r="I465" s="537"/>
      <c r="J465" s="537"/>
      <c r="K465" s="537"/>
      <c r="L465" s="537"/>
      <c r="M465" s="537"/>
      <c r="N465" s="537"/>
      <c r="O465" s="537"/>
      <c r="P465" s="537"/>
      <c r="Q465" s="537"/>
      <c r="R465" s="537"/>
      <c r="S465" s="537"/>
      <c r="T465" s="537"/>
      <c r="U465" s="537"/>
    </row>
    <row r="466" spans="1:21" hidden="1" x14ac:dyDescent="0.2">
      <c r="A466" s="537" t="str">
        <f t="shared" si="14"/>
        <v>BLANK...</v>
      </c>
      <c r="B466" s="537" t="s">
        <v>193</v>
      </c>
      <c r="C466" s="537" t="str">
        <f t="shared" si="15"/>
        <v>..</v>
      </c>
      <c r="D466" s="537"/>
      <c r="E466" s="537"/>
      <c r="F466" s="537"/>
      <c r="G466" s="537"/>
      <c r="H466" s="537"/>
      <c r="I466" s="537"/>
      <c r="J466" s="537"/>
      <c r="K466" s="537"/>
      <c r="L466" s="537"/>
      <c r="M466" s="537"/>
      <c r="N466" s="537"/>
      <c r="O466" s="537"/>
      <c r="P466" s="537"/>
      <c r="Q466" s="537"/>
      <c r="R466" s="537"/>
      <c r="S466" s="537"/>
      <c r="T466" s="537"/>
      <c r="U466" s="537"/>
    </row>
    <row r="467" spans="1:21" hidden="1" x14ac:dyDescent="0.2">
      <c r="A467" s="537" t="str">
        <f t="shared" si="14"/>
        <v>BLANK...</v>
      </c>
      <c r="B467" s="537" t="s">
        <v>193</v>
      </c>
      <c r="C467" s="537" t="str">
        <f t="shared" si="15"/>
        <v>..</v>
      </c>
      <c r="D467" s="537"/>
      <c r="E467" s="537"/>
      <c r="F467" s="537"/>
      <c r="G467" s="537"/>
      <c r="H467" s="537"/>
      <c r="I467" s="537"/>
      <c r="J467" s="537"/>
      <c r="K467" s="537"/>
      <c r="L467" s="537"/>
      <c r="M467" s="537"/>
      <c r="N467" s="537"/>
      <c r="O467" s="537"/>
      <c r="P467" s="537"/>
      <c r="Q467" s="537"/>
      <c r="R467" s="537"/>
      <c r="S467" s="537"/>
      <c r="T467" s="537"/>
      <c r="U467" s="537"/>
    </row>
    <row r="468" spans="1:21" hidden="1" x14ac:dyDescent="0.2">
      <c r="A468" s="537" t="str">
        <f t="shared" si="14"/>
        <v>BLANK...</v>
      </c>
      <c r="B468" s="537" t="s">
        <v>193</v>
      </c>
      <c r="C468" s="537" t="str">
        <f t="shared" si="15"/>
        <v>..</v>
      </c>
      <c r="D468" s="537"/>
      <c r="E468" s="537"/>
      <c r="F468" s="537"/>
      <c r="G468" s="537"/>
      <c r="H468" s="537"/>
      <c r="I468" s="537"/>
      <c r="J468" s="537"/>
      <c r="K468" s="537"/>
      <c r="L468" s="537"/>
      <c r="M468" s="537"/>
      <c r="N468" s="537"/>
      <c r="O468" s="537"/>
      <c r="P468" s="537"/>
      <c r="Q468" s="537"/>
      <c r="R468" s="537"/>
      <c r="S468" s="537"/>
      <c r="T468" s="537"/>
      <c r="U468" s="537"/>
    </row>
    <row r="469" spans="1:21" hidden="1" x14ac:dyDescent="0.2">
      <c r="A469" s="537" t="str">
        <f t="shared" si="14"/>
        <v>BLANK...</v>
      </c>
      <c r="B469" s="537" t="s">
        <v>193</v>
      </c>
      <c r="C469" s="537" t="str">
        <f t="shared" si="15"/>
        <v>..</v>
      </c>
      <c r="D469" s="537"/>
      <c r="E469" s="537"/>
      <c r="F469" s="537"/>
      <c r="G469" s="537"/>
      <c r="H469" s="537"/>
      <c r="I469" s="537"/>
      <c r="J469" s="537"/>
      <c r="K469" s="537"/>
      <c r="L469" s="537"/>
      <c r="M469" s="537"/>
      <c r="N469" s="537"/>
      <c r="O469" s="537"/>
      <c r="P469" s="537"/>
      <c r="Q469" s="537"/>
      <c r="R469" s="537"/>
      <c r="S469" s="537"/>
      <c r="T469" s="537"/>
      <c r="U469" s="537"/>
    </row>
    <row r="470" spans="1:21" hidden="1" x14ac:dyDescent="0.2">
      <c r="A470" s="537" t="str">
        <f t="shared" si="14"/>
        <v>BLANK...</v>
      </c>
      <c r="B470" s="537" t="s">
        <v>193</v>
      </c>
      <c r="C470" s="537" t="str">
        <f t="shared" si="15"/>
        <v>..</v>
      </c>
      <c r="D470" s="537"/>
      <c r="E470" s="537"/>
      <c r="F470" s="537"/>
      <c r="G470" s="537"/>
      <c r="H470" s="537"/>
      <c r="I470" s="537"/>
      <c r="J470" s="537"/>
      <c r="K470" s="537"/>
      <c r="L470" s="537"/>
      <c r="M470" s="537"/>
      <c r="N470" s="537"/>
      <c r="O470" s="537"/>
      <c r="P470" s="537"/>
      <c r="Q470" s="537"/>
      <c r="R470" s="537"/>
      <c r="S470" s="537"/>
      <c r="T470" s="537"/>
      <c r="U470" s="537"/>
    </row>
    <row r="471" spans="1:21" hidden="1" x14ac:dyDescent="0.2">
      <c r="A471" s="537" t="str">
        <f t="shared" si="14"/>
        <v>BLANK...</v>
      </c>
      <c r="B471" s="537" t="s">
        <v>193</v>
      </c>
      <c r="C471" s="537" t="str">
        <f t="shared" si="15"/>
        <v>..</v>
      </c>
      <c r="D471" s="537"/>
      <c r="E471" s="537"/>
      <c r="F471" s="537"/>
      <c r="G471" s="537"/>
      <c r="H471" s="537"/>
      <c r="I471" s="537"/>
      <c r="J471" s="537"/>
      <c r="K471" s="537"/>
      <c r="L471" s="537"/>
      <c r="M471" s="537"/>
      <c r="N471" s="537"/>
      <c r="O471" s="537"/>
      <c r="P471" s="537"/>
      <c r="Q471" s="537"/>
      <c r="R471" s="537"/>
      <c r="S471" s="537"/>
      <c r="T471" s="537"/>
      <c r="U471" s="537"/>
    </row>
    <row r="472" spans="1:21" hidden="1" x14ac:dyDescent="0.2">
      <c r="A472" s="537" t="str">
        <f t="shared" si="14"/>
        <v>BLANK...</v>
      </c>
      <c r="B472" s="537" t="s">
        <v>193</v>
      </c>
      <c r="C472" s="537" t="str">
        <f t="shared" si="15"/>
        <v>..</v>
      </c>
      <c r="D472" s="537"/>
      <c r="E472" s="537"/>
      <c r="F472" s="537"/>
      <c r="G472" s="537"/>
      <c r="H472" s="537"/>
      <c r="I472" s="537"/>
      <c r="J472" s="537"/>
      <c r="K472" s="537"/>
      <c r="L472" s="537"/>
      <c r="M472" s="537"/>
      <c r="N472" s="537"/>
      <c r="O472" s="537"/>
      <c r="P472" s="537"/>
      <c r="Q472" s="537"/>
      <c r="R472" s="537"/>
      <c r="S472" s="537"/>
      <c r="T472" s="537"/>
      <c r="U472" s="537"/>
    </row>
    <row r="473" spans="1:21" hidden="1" x14ac:dyDescent="0.2">
      <c r="A473" s="537" t="str">
        <f t="shared" si="14"/>
        <v>BLANK...</v>
      </c>
      <c r="B473" s="537" t="s">
        <v>193</v>
      </c>
      <c r="C473" s="537" t="str">
        <f t="shared" si="15"/>
        <v>..</v>
      </c>
      <c r="D473" s="537"/>
      <c r="E473" s="537"/>
      <c r="F473" s="537"/>
      <c r="G473" s="537"/>
      <c r="H473" s="537"/>
      <c r="I473" s="537"/>
      <c r="J473" s="537"/>
      <c r="K473" s="537"/>
      <c r="L473" s="537"/>
      <c r="M473" s="537"/>
      <c r="N473" s="537"/>
      <c r="O473" s="537"/>
      <c r="P473" s="537"/>
      <c r="Q473" s="537"/>
      <c r="R473" s="537"/>
      <c r="S473" s="537"/>
      <c r="T473" s="537"/>
      <c r="U473" s="537"/>
    </row>
    <row r="474" spans="1:21" hidden="1" x14ac:dyDescent="0.2">
      <c r="A474" s="537" t="str">
        <f t="shared" si="14"/>
        <v>BLANK...</v>
      </c>
      <c r="B474" s="537" t="s">
        <v>193</v>
      </c>
      <c r="C474" s="537" t="str">
        <f t="shared" si="15"/>
        <v>..</v>
      </c>
      <c r="D474" s="537"/>
      <c r="E474" s="537"/>
      <c r="F474" s="537"/>
      <c r="G474" s="537"/>
      <c r="H474" s="537"/>
      <c r="I474" s="537"/>
      <c r="J474" s="537"/>
      <c r="K474" s="537"/>
      <c r="L474" s="537"/>
      <c r="M474" s="537"/>
      <c r="N474" s="537"/>
      <c r="O474" s="537"/>
      <c r="P474" s="537"/>
      <c r="Q474" s="537"/>
      <c r="R474" s="537"/>
      <c r="S474" s="537"/>
      <c r="T474" s="537"/>
      <c r="U474" s="537"/>
    </row>
    <row r="475" spans="1:21" hidden="1" x14ac:dyDescent="0.2">
      <c r="A475" s="537" t="str">
        <f t="shared" si="14"/>
        <v>BLANK...</v>
      </c>
      <c r="B475" s="537" t="s">
        <v>193</v>
      </c>
      <c r="C475" s="537" t="str">
        <f t="shared" si="15"/>
        <v>..</v>
      </c>
      <c r="D475" s="537"/>
      <c r="E475" s="537"/>
      <c r="F475" s="537"/>
      <c r="G475" s="537"/>
      <c r="H475" s="537"/>
      <c r="I475" s="537"/>
      <c r="J475" s="537"/>
      <c r="K475" s="537"/>
      <c r="L475" s="537"/>
      <c r="M475" s="537"/>
      <c r="N475" s="537"/>
      <c r="O475" s="537"/>
      <c r="P475" s="537"/>
      <c r="Q475" s="537"/>
      <c r="R475" s="537"/>
      <c r="S475" s="537"/>
      <c r="T475" s="537"/>
      <c r="U475" s="537"/>
    </row>
    <row r="476" spans="1:21" hidden="1" x14ac:dyDescent="0.2">
      <c r="A476" s="537" t="str">
        <f t="shared" si="14"/>
        <v>BLANK...</v>
      </c>
      <c r="B476" s="537" t="s">
        <v>193</v>
      </c>
      <c r="C476" s="537" t="str">
        <f t="shared" si="15"/>
        <v>..</v>
      </c>
      <c r="D476" s="537"/>
      <c r="E476" s="537"/>
      <c r="F476" s="537"/>
      <c r="G476" s="537"/>
      <c r="H476" s="537"/>
      <c r="I476" s="537"/>
      <c r="J476" s="537"/>
      <c r="K476" s="537"/>
      <c r="L476" s="537"/>
      <c r="M476" s="537"/>
      <c r="N476" s="537"/>
      <c r="O476" s="537"/>
      <c r="P476" s="537"/>
      <c r="Q476" s="537"/>
      <c r="R476" s="537"/>
      <c r="S476" s="537"/>
      <c r="T476" s="537"/>
      <c r="U476" s="537"/>
    </row>
    <row r="477" spans="1:21" hidden="1" x14ac:dyDescent="0.2">
      <c r="A477" s="537" t="str">
        <f t="shared" si="14"/>
        <v>BLANK...</v>
      </c>
      <c r="B477" s="537" t="s">
        <v>193</v>
      </c>
      <c r="C477" s="537" t="str">
        <f t="shared" si="15"/>
        <v>..</v>
      </c>
      <c r="D477" s="537"/>
      <c r="E477" s="537"/>
      <c r="F477" s="537"/>
      <c r="G477" s="537"/>
      <c r="H477" s="537"/>
      <c r="I477" s="537"/>
      <c r="J477" s="537"/>
      <c r="K477" s="537"/>
      <c r="L477" s="537"/>
      <c r="M477" s="537"/>
      <c r="N477" s="537"/>
      <c r="O477" s="537"/>
      <c r="P477" s="537"/>
      <c r="Q477" s="537"/>
      <c r="R477" s="537"/>
      <c r="S477" s="537"/>
      <c r="T477" s="537"/>
      <c r="U477" s="537"/>
    </row>
    <row r="478" spans="1:21" hidden="1" x14ac:dyDescent="0.2">
      <c r="A478" s="537" t="str">
        <f t="shared" si="14"/>
        <v>BLANK...</v>
      </c>
      <c r="B478" s="537" t="s">
        <v>193</v>
      </c>
      <c r="C478" s="537" t="str">
        <f t="shared" si="15"/>
        <v>..</v>
      </c>
      <c r="D478" s="537"/>
      <c r="E478" s="537"/>
      <c r="F478" s="537"/>
      <c r="G478" s="537"/>
      <c r="H478" s="537"/>
      <c r="I478" s="537"/>
      <c r="J478" s="537"/>
      <c r="K478" s="537"/>
      <c r="L478" s="537"/>
      <c r="M478" s="537"/>
      <c r="N478" s="537"/>
      <c r="O478" s="537"/>
      <c r="P478" s="537"/>
      <c r="Q478" s="537"/>
      <c r="R478" s="537"/>
      <c r="S478" s="537"/>
      <c r="T478" s="537"/>
      <c r="U478" s="537"/>
    </row>
    <row r="479" spans="1:21" hidden="1" x14ac:dyDescent="0.2">
      <c r="A479" s="537" t="str">
        <f t="shared" si="14"/>
        <v>BLANK...</v>
      </c>
      <c r="B479" s="537" t="s">
        <v>193</v>
      </c>
      <c r="C479" s="537" t="str">
        <f t="shared" si="15"/>
        <v>..</v>
      </c>
      <c r="D479" s="537"/>
      <c r="E479" s="537"/>
      <c r="F479" s="537"/>
      <c r="G479" s="537"/>
      <c r="H479" s="537"/>
      <c r="I479" s="537"/>
      <c r="J479" s="537"/>
      <c r="K479" s="537"/>
      <c r="L479" s="537"/>
      <c r="M479" s="537"/>
      <c r="N479" s="537"/>
      <c r="O479" s="537"/>
      <c r="P479" s="537"/>
      <c r="Q479" s="537"/>
      <c r="R479" s="537"/>
      <c r="S479" s="537"/>
      <c r="T479" s="537"/>
      <c r="U479" s="537"/>
    </row>
    <row r="480" spans="1:21" hidden="1" x14ac:dyDescent="0.2">
      <c r="A480" s="537" t="str">
        <f t="shared" si="14"/>
        <v>BLANK...</v>
      </c>
      <c r="B480" s="537" t="s">
        <v>193</v>
      </c>
      <c r="C480" s="537" t="str">
        <f t="shared" si="15"/>
        <v>..</v>
      </c>
      <c r="D480" s="537"/>
      <c r="E480" s="537"/>
      <c r="F480" s="537"/>
      <c r="G480" s="537"/>
      <c r="H480" s="537"/>
      <c r="I480" s="537"/>
      <c r="J480" s="537"/>
      <c r="K480" s="537"/>
      <c r="L480" s="537"/>
      <c r="M480" s="537"/>
      <c r="N480" s="537"/>
      <c r="O480" s="537"/>
      <c r="P480" s="537"/>
      <c r="Q480" s="537"/>
      <c r="R480" s="537"/>
      <c r="S480" s="537"/>
      <c r="T480" s="537"/>
      <c r="U480" s="537"/>
    </row>
    <row r="481" spans="1:21" hidden="1" x14ac:dyDescent="0.2">
      <c r="A481" s="537" t="str">
        <f t="shared" si="14"/>
        <v>BLANK...</v>
      </c>
      <c r="B481" s="537" t="s">
        <v>193</v>
      </c>
      <c r="C481" s="537" t="str">
        <f t="shared" si="15"/>
        <v>..</v>
      </c>
      <c r="D481" s="537"/>
      <c r="E481" s="537"/>
      <c r="F481" s="537"/>
      <c r="G481" s="537"/>
      <c r="H481" s="537"/>
      <c r="I481" s="537"/>
      <c r="J481" s="537"/>
      <c r="K481" s="537"/>
      <c r="L481" s="537"/>
      <c r="M481" s="537"/>
      <c r="N481" s="537"/>
      <c r="O481" s="537"/>
      <c r="P481" s="537"/>
      <c r="Q481" s="537"/>
      <c r="R481" s="537"/>
      <c r="S481" s="537"/>
      <c r="T481" s="537"/>
      <c r="U481" s="537"/>
    </row>
    <row r="482" spans="1:21" hidden="1" x14ac:dyDescent="0.2">
      <c r="A482" s="537" t="str">
        <f t="shared" si="14"/>
        <v>BLANK...</v>
      </c>
      <c r="B482" s="537" t="s">
        <v>193</v>
      </c>
      <c r="C482" s="537" t="str">
        <f t="shared" si="15"/>
        <v>..</v>
      </c>
      <c r="D482" s="537"/>
      <c r="E482" s="537"/>
      <c r="F482" s="537"/>
      <c r="G482" s="537"/>
      <c r="H482" s="537"/>
      <c r="I482" s="537"/>
      <c r="J482" s="537"/>
      <c r="K482" s="537"/>
      <c r="L482" s="537"/>
      <c r="M482" s="537"/>
      <c r="N482" s="537"/>
      <c r="O482" s="537"/>
      <c r="P482" s="537"/>
      <c r="Q482" s="537"/>
      <c r="R482" s="537"/>
      <c r="S482" s="537"/>
      <c r="T482" s="537"/>
      <c r="U482" s="537"/>
    </row>
    <row r="483" spans="1:21" hidden="1" x14ac:dyDescent="0.2">
      <c r="A483" s="537" t="str">
        <f t="shared" si="14"/>
        <v>BLANK...</v>
      </c>
      <c r="B483" s="537" t="s">
        <v>193</v>
      </c>
      <c r="C483" s="537" t="str">
        <f t="shared" si="15"/>
        <v>..</v>
      </c>
      <c r="D483" s="537"/>
      <c r="E483" s="537"/>
      <c r="F483" s="537"/>
      <c r="G483" s="537"/>
      <c r="H483" s="537"/>
      <c r="I483" s="537"/>
      <c r="J483" s="537"/>
      <c r="K483" s="537"/>
      <c r="L483" s="537"/>
      <c r="M483" s="537"/>
      <c r="N483" s="537"/>
      <c r="O483" s="537"/>
      <c r="P483" s="537"/>
      <c r="Q483" s="537"/>
      <c r="R483" s="537"/>
      <c r="S483" s="537"/>
      <c r="T483" s="537"/>
      <c r="U483" s="537"/>
    </row>
    <row r="484" spans="1:21" hidden="1" x14ac:dyDescent="0.2">
      <c r="A484" s="537" t="str">
        <f t="shared" si="14"/>
        <v>BLANK...</v>
      </c>
      <c r="B484" s="537" t="s">
        <v>193</v>
      </c>
      <c r="C484" s="537" t="str">
        <f t="shared" si="15"/>
        <v>..</v>
      </c>
      <c r="D484" s="537"/>
      <c r="E484" s="537"/>
      <c r="F484" s="537"/>
      <c r="G484" s="537"/>
      <c r="H484" s="537"/>
      <c r="I484" s="537"/>
      <c r="J484" s="537"/>
      <c r="K484" s="537"/>
      <c r="L484" s="537"/>
      <c r="M484" s="537"/>
      <c r="N484" s="537"/>
      <c r="O484" s="537"/>
      <c r="P484" s="537"/>
      <c r="Q484" s="537"/>
      <c r="R484" s="537"/>
      <c r="S484" s="537"/>
      <c r="T484" s="537"/>
      <c r="U484" s="537"/>
    </row>
    <row r="485" spans="1:21" hidden="1" x14ac:dyDescent="0.2">
      <c r="A485" s="537" t="str">
        <f t="shared" si="14"/>
        <v>BLANK...</v>
      </c>
      <c r="B485" s="537" t="s">
        <v>193</v>
      </c>
      <c r="C485" s="537" t="str">
        <f t="shared" si="15"/>
        <v>..</v>
      </c>
      <c r="D485" s="537"/>
      <c r="E485" s="537"/>
      <c r="F485" s="537"/>
      <c r="G485" s="537"/>
      <c r="H485" s="537"/>
      <c r="I485" s="537"/>
      <c r="J485" s="537"/>
      <c r="K485" s="537"/>
      <c r="L485" s="537"/>
      <c r="M485" s="537"/>
      <c r="N485" s="537"/>
      <c r="O485" s="537"/>
      <c r="P485" s="537"/>
      <c r="Q485" s="537"/>
      <c r="R485" s="537"/>
      <c r="S485" s="537"/>
      <c r="T485" s="537"/>
      <c r="U485" s="537"/>
    </row>
    <row r="486" spans="1:21" hidden="1" x14ac:dyDescent="0.2">
      <c r="A486" s="537" t="str">
        <f t="shared" si="14"/>
        <v>BLANK...</v>
      </c>
      <c r="B486" s="537" t="s">
        <v>193</v>
      </c>
      <c r="C486" s="537" t="str">
        <f t="shared" si="15"/>
        <v>..</v>
      </c>
      <c r="D486" s="537"/>
      <c r="E486" s="537"/>
      <c r="F486" s="537"/>
      <c r="G486" s="537"/>
      <c r="H486" s="537"/>
      <c r="I486" s="537"/>
      <c r="J486" s="537"/>
      <c r="K486" s="537"/>
      <c r="L486" s="537"/>
      <c r="M486" s="537"/>
      <c r="N486" s="537"/>
      <c r="O486" s="537"/>
      <c r="P486" s="537"/>
      <c r="Q486" s="537"/>
      <c r="R486" s="537"/>
      <c r="S486" s="537"/>
      <c r="T486" s="537"/>
      <c r="U486" s="537"/>
    </row>
    <row r="487" spans="1:21" hidden="1" x14ac:dyDescent="0.2">
      <c r="A487" s="537" t="str">
        <f t="shared" si="14"/>
        <v>BLANK...</v>
      </c>
      <c r="B487" s="537" t="s">
        <v>193</v>
      </c>
      <c r="C487" s="537" t="str">
        <f t="shared" si="15"/>
        <v>..</v>
      </c>
      <c r="D487" s="537"/>
      <c r="E487" s="537"/>
      <c r="F487" s="537"/>
      <c r="G487" s="537"/>
      <c r="H487" s="537"/>
      <c r="I487" s="537"/>
      <c r="J487" s="537"/>
      <c r="K487" s="537"/>
      <c r="L487" s="537"/>
      <c r="M487" s="537"/>
      <c r="N487" s="537"/>
      <c r="O487" s="537"/>
      <c r="P487" s="537"/>
      <c r="Q487" s="537"/>
      <c r="R487" s="537"/>
      <c r="S487" s="537"/>
      <c r="T487" s="537"/>
      <c r="U487" s="537"/>
    </row>
    <row r="488" spans="1:21" hidden="1" x14ac:dyDescent="0.2">
      <c r="A488" s="537" t="str">
        <f t="shared" si="14"/>
        <v>BLANK...</v>
      </c>
      <c r="B488" s="537" t="s">
        <v>193</v>
      </c>
      <c r="C488" s="537" t="str">
        <f t="shared" si="15"/>
        <v>..</v>
      </c>
      <c r="D488" s="537"/>
      <c r="E488" s="537"/>
      <c r="F488" s="537"/>
      <c r="G488" s="537"/>
      <c r="H488" s="537"/>
      <c r="I488" s="537"/>
      <c r="J488" s="537"/>
      <c r="K488" s="537"/>
      <c r="L488" s="537"/>
      <c r="M488" s="537"/>
      <c r="N488" s="537"/>
      <c r="O488" s="537"/>
      <c r="P488" s="537"/>
      <c r="Q488" s="537"/>
      <c r="R488" s="537"/>
      <c r="S488" s="537"/>
      <c r="T488" s="537"/>
      <c r="U488" s="537"/>
    </row>
    <row r="489" spans="1:21" hidden="1" x14ac:dyDescent="0.2">
      <c r="A489" s="537" t="str">
        <f t="shared" si="14"/>
        <v>BLANK...</v>
      </c>
      <c r="B489" s="537" t="s">
        <v>193</v>
      </c>
      <c r="C489" s="537" t="str">
        <f t="shared" si="15"/>
        <v>..</v>
      </c>
      <c r="D489" s="537"/>
      <c r="E489" s="537"/>
      <c r="F489" s="537"/>
      <c r="G489" s="537"/>
      <c r="H489" s="537"/>
      <c r="I489" s="537"/>
      <c r="J489" s="537"/>
      <c r="K489" s="537"/>
      <c r="L489" s="537"/>
      <c r="M489" s="537"/>
      <c r="N489" s="537"/>
      <c r="O489" s="537"/>
      <c r="P489" s="537"/>
      <c r="Q489" s="537"/>
      <c r="R489" s="537"/>
      <c r="S489" s="537"/>
      <c r="T489" s="537"/>
      <c r="U489" s="537"/>
    </row>
    <row r="490" spans="1:21" hidden="1" x14ac:dyDescent="0.2">
      <c r="A490" s="537" t="str">
        <f t="shared" si="14"/>
        <v>BLANK...</v>
      </c>
      <c r="B490" s="537" t="s">
        <v>193</v>
      </c>
      <c r="C490" s="537" t="str">
        <f t="shared" si="15"/>
        <v>..</v>
      </c>
      <c r="D490" s="537"/>
      <c r="E490" s="537"/>
      <c r="F490" s="537"/>
      <c r="G490" s="537"/>
      <c r="H490" s="537"/>
      <c r="I490" s="537"/>
      <c r="J490" s="537"/>
      <c r="K490" s="537"/>
      <c r="L490" s="537"/>
      <c r="M490" s="537"/>
      <c r="N490" s="537"/>
      <c r="O490" s="537"/>
      <c r="P490" s="537"/>
      <c r="Q490" s="537"/>
      <c r="R490" s="537"/>
      <c r="S490" s="537"/>
      <c r="T490" s="537"/>
      <c r="U490" s="537"/>
    </row>
    <row r="491" spans="1:21" hidden="1" x14ac:dyDescent="0.2">
      <c r="A491" s="537" t="str">
        <f t="shared" si="14"/>
        <v>BLANK...</v>
      </c>
      <c r="B491" s="537" t="s">
        <v>193</v>
      </c>
      <c r="C491" s="537" t="str">
        <f t="shared" si="15"/>
        <v>..</v>
      </c>
      <c r="D491" s="537"/>
      <c r="E491" s="537"/>
      <c r="F491" s="537"/>
      <c r="G491" s="537"/>
      <c r="H491" s="537"/>
      <c r="I491" s="537"/>
      <c r="J491" s="537"/>
      <c r="K491" s="537"/>
      <c r="L491" s="537"/>
      <c r="M491" s="537"/>
      <c r="N491" s="537"/>
      <c r="O491" s="537"/>
      <c r="P491" s="537"/>
      <c r="Q491" s="537"/>
      <c r="R491" s="537"/>
      <c r="S491" s="537"/>
      <c r="T491" s="537"/>
      <c r="U491" s="537"/>
    </row>
    <row r="492" spans="1:21" hidden="1" x14ac:dyDescent="0.2">
      <c r="A492" s="537" t="str">
        <f t="shared" si="14"/>
        <v>BLANK...</v>
      </c>
      <c r="B492" s="537" t="s">
        <v>193</v>
      </c>
      <c r="C492" s="537" t="str">
        <f t="shared" si="15"/>
        <v>..</v>
      </c>
      <c r="D492" s="537"/>
      <c r="E492" s="537"/>
      <c r="F492" s="537"/>
      <c r="G492" s="537"/>
      <c r="H492" s="537"/>
      <c r="I492" s="537"/>
      <c r="J492" s="537"/>
      <c r="K492" s="537"/>
      <c r="L492" s="537"/>
      <c r="M492" s="537"/>
      <c r="N492" s="537"/>
      <c r="O492" s="537"/>
      <c r="P492" s="537"/>
      <c r="Q492" s="537"/>
      <c r="R492" s="537"/>
      <c r="S492" s="537"/>
      <c r="T492" s="537"/>
      <c r="U492" s="537"/>
    </row>
    <row r="493" spans="1:21" hidden="1" x14ac:dyDescent="0.2">
      <c r="A493" s="537" t="str">
        <f t="shared" si="14"/>
        <v>BLANK...</v>
      </c>
      <c r="B493" s="537" t="s">
        <v>193</v>
      </c>
      <c r="C493" s="537" t="str">
        <f t="shared" si="15"/>
        <v>..</v>
      </c>
      <c r="D493" s="537"/>
      <c r="E493" s="537"/>
      <c r="F493" s="537"/>
      <c r="G493" s="537"/>
      <c r="H493" s="537"/>
      <c r="I493" s="537"/>
      <c r="J493" s="537"/>
      <c r="K493" s="537"/>
      <c r="L493" s="537"/>
      <c r="M493" s="537"/>
      <c r="N493" s="537"/>
      <c r="O493" s="537"/>
      <c r="P493" s="537"/>
      <c r="Q493" s="537"/>
      <c r="R493" s="537"/>
      <c r="S493" s="537"/>
      <c r="T493" s="537"/>
      <c r="U493" s="537"/>
    </row>
    <row r="494" spans="1:21" hidden="1" x14ac:dyDescent="0.2">
      <c r="A494" s="537" t="str">
        <f t="shared" si="14"/>
        <v>BLANK...</v>
      </c>
      <c r="B494" s="537" t="s">
        <v>193</v>
      </c>
      <c r="C494" s="537" t="str">
        <f t="shared" si="15"/>
        <v>..</v>
      </c>
      <c r="D494" s="537"/>
      <c r="E494" s="537"/>
      <c r="F494" s="537"/>
      <c r="G494" s="537"/>
      <c r="H494" s="537"/>
      <c r="I494" s="537"/>
      <c r="J494" s="537"/>
      <c r="K494" s="537"/>
      <c r="L494" s="537"/>
      <c r="M494" s="537"/>
      <c r="N494" s="537"/>
      <c r="O494" s="537"/>
      <c r="P494" s="537"/>
      <c r="Q494" s="537"/>
      <c r="R494" s="537"/>
      <c r="S494" s="537"/>
      <c r="T494" s="537"/>
      <c r="U494" s="537"/>
    </row>
    <row r="495" spans="1:21" hidden="1" x14ac:dyDescent="0.2">
      <c r="A495" s="537" t="str">
        <f t="shared" si="14"/>
        <v>BLANK...</v>
      </c>
      <c r="B495" s="537" t="s">
        <v>193</v>
      </c>
      <c r="C495" s="537" t="str">
        <f t="shared" si="15"/>
        <v>..</v>
      </c>
      <c r="D495" s="537"/>
      <c r="E495" s="537"/>
      <c r="F495" s="537"/>
      <c r="G495" s="537"/>
      <c r="H495" s="537"/>
      <c r="I495" s="537"/>
      <c r="J495" s="537"/>
      <c r="K495" s="537"/>
      <c r="L495" s="537"/>
      <c r="M495" s="537"/>
      <c r="N495" s="537"/>
      <c r="O495" s="537"/>
      <c r="P495" s="537"/>
      <c r="Q495" s="537"/>
      <c r="R495" s="537"/>
      <c r="S495" s="537"/>
      <c r="T495" s="537"/>
      <c r="U495" s="537"/>
    </row>
    <row r="496" spans="1:21" hidden="1" x14ac:dyDescent="0.2">
      <c r="A496" s="537" t="str">
        <f t="shared" si="14"/>
        <v>BLANK...</v>
      </c>
      <c r="B496" s="537" t="s">
        <v>193</v>
      </c>
      <c r="C496" s="537" t="str">
        <f t="shared" si="15"/>
        <v>..</v>
      </c>
      <c r="D496" s="537"/>
      <c r="E496" s="537"/>
      <c r="F496" s="537"/>
      <c r="G496" s="537"/>
      <c r="H496" s="537"/>
      <c r="I496" s="537"/>
      <c r="J496" s="537"/>
      <c r="K496" s="537"/>
      <c r="L496" s="537"/>
      <c r="M496" s="537"/>
      <c r="N496" s="537"/>
      <c r="O496" s="537"/>
      <c r="P496" s="537"/>
      <c r="Q496" s="537"/>
      <c r="R496" s="537"/>
      <c r="S496" s="537"/>
      <c r="T496" s="537"/>
      <c r="U496" s="537"/>
    </row>
    <row r="497" spans="1:21" hidden="1" x14ac:dyDescent="0.2">
      <c r="A497" s="537" t="str">
        <f t="shared" si="14"/>
        <v>BLANK...</v>
      </c>
      <c r="B497" s="537" t="s">
        <v>193</v>
      </c>
      <c r="C497" s="537" t="str">
        <f t="shared" si="15"/>
        <v>..</v>
      </c>
      <c r="D497" s="537"/>
      <c r="E497" s="537"/>
      <c r="F497" s="537"/>
      <c r="G497" s="537"/>
      <c r="H497" s="537"/>
      <c r="I497" s="537"/>
      <c r="J497" s="537"/>
      <c r="K497" s="537"/>
      <c r="L497" s="537"/>
      <c r="M497" s="537"/>
      <c r="N497" s="537"/>
      <c r="O497" s="537"/>
      <c r="P497" s="537"/>
      <c r="Q497" s="537"/>
      <c r="R497" s="537"/>
      <c r="S497" s="537"/>
      <c r="T497" s="537"/>
      <c r="U497" s="537"/>
    </row>
    <row r="498" spans="1:21" hidden="1" x14ac:dyDescent="0.2">
      <c r="A498" s="537" t="str">
        <f t="shared" si="14"/>
        <v>BLANK...</v>
      </c>
      <c r="B498" s="537" t="s">
        <v>193</v>
      </c>
      <c r="C498" s="537" t="str">
        <f t="shared" si="15"/>
        <v>..</v>
      </c>
      <c r="D498" s="537"/>
      <c r="E498" s="537"/>
      <c r="F498" s="537"/>
      <c r="G498" s="537"/>
      <c r="H498" s="537"/>
      <c r="I498" s="537"/>
      <c r="J498" s="537"/>
      <c r="K498" s="537"/>
      <c r="L498" s="537"/>
      <c r="M498" s="537"/>
      <c r="N498" s="537"/>
      <c r="O498" s="537"/>
      <c r="P498" s="537"/>
      <c r="Q498" s="537"/>
      <c r="R498" s="537"/>
      <c r="S498" s="537"/>
      <c r="T498" s="537"/>
      <c r="U498" s="537"/>
    </row>
    <row r="499" spans="1:21" hidden="1" x14ac:dyDescent="0.2">
      <c r="A499" s="537" t="str">
        <f t="shared" si="14"/>
        <v>BLANK...</v>
      </c>
      <c r="B499" s="537" t="s">
        <v>193</v>
      </c>
      <c r="C499" s="537" t="str">
        <f t="shared" si="15"/>
        <v>..</v>
      </c>
      <c r="D499" s="537"/>
      <c r="E499" s="537"/>
      <c r="F499" s="537"/>
      <c r="G499" s="537"/>
      <c r="H499" s="537"/>
      <c r="I499" s="537"/>
      <c r="J499" s="537"/>
      <c r="K499" s="537"/>
      <c r="L499" s="537"/>
      <c r="M499" s="537"/>
      <c r="N499" s="537"/>
      <c r="O499" s="537"/>
      <c r="P499" s="537"/>
      <c r="Q499" s="537"/>
      <c r="R499" s="537"/>
      <c r="S499" s="537"/>
      <c r="T499" s="537"/>
      <c r="U499" s="537"/>
    </row>
    <row r="500" spans="1:21" hidden="1" x14ac:dyDescent="0.2">
      <c r="A500" s="537" t="str">
        <f t="shared" si="14"/>
        <v>BLANK...</v>
      </c>
      <c r="B500" s="537" t="s">
        <v>193</v>
      </c>
      <c r="C500" s="537" t="str">
        <f t="shared" si="15"/>
        <v>..</v>
      </c>
      <c r="D500" s="537"/>
      <c r="E500" s="537"/>
      <c r="F500" s="537"/>
      <c r="G500" s="537"/>
      <c r="H500" s="537"/>
      <c r="I500" s="537"/>
      <c r="J500" s="537"/>
      <c r="K500" s="537"/>
      <c r="L500" s="537"/>
      <c r="M500" s="537"/>
      <c r="N500" s="537"/>
      <c r="O500" s="537"/>
      <c r="P500" s="537"/>
      <c r="Q500" s="537"/>
      <c r="R500" s="537"/>
      <c r="S500" s="537"/>
      <c r="T500" s="537"/>
      <c r="U500" s="537"/>
    </row>
    <row r="501" spans="1:21" hidden="1" x14ac:dyDescent="0.2">
      <c r="A501" s="537" t="str">
        <f t="shared" si="14"/>
        <v>BLANK...</v>
      </c>
      <c r="B501" s="537" t="s">
        <v>193</v>
      </c>
      <c r="C501" s="537" t="str">
        <f t="shared" si="15"/>
        <v>..</v>
      </c>
      <c r="D501" s="537"/>
      <c r="E501" s="537"/>
      <c r="F501" s="537"/>
      <c r="G501" s="537"/>
      <c r="H501" s="537"/>
      <c r="I501" s="537"/>
      <c r="J501" s="537"/>
      <c r="K501" s="537"/>
      <c r="L501" s="537"/>
      <c r="M501" s="537"/>
      <c r="N501" s="537"/>
      <c r="O501" s="537"/>
      <c r="P501" s="537"/>
      <c r="Q501" s="537"/>
      <c r="R501" s="537"/>
      <c r="S501" s="537"/>
      <c r="T501" s="537"/>
      <c r="U501" s="537"/>
    </row>
    <row r="502" spans="1:21" hidden="1" x14ac:dyDescent="0.2">
      <c r="A502" s="537" t="str">
        <f t="shared" si="14"/>
        <v>BLANK...</v>
      </c>
      <c r="B502" s="537" t="s">
        <v>193</v>
      </c>
      <c r="C502" s="537" t="str">
        <f t="shared" si="15"/>
        <v>..</v>
      </c>
      <c r="D502" s="537"/>
      <c r="E502" s="537"/>
      <c r="F502" s="537"/>
      <c r="G502" s="537"/>
      <c r="H502" s="537"/>
      <c r="I502" s="537"/>
      <c r="J502" s="537"/>
      <c r="K502" s="537"/>
      <c r="L502" s="537"/>
      <c r="M502" s="537"/>
      <c r="N502" s="537"/>
      <c r="O502" s="537"/>
      <c r="P502" s="537"/>
      <c r="Q502" s="537"/>
      <c r="R502" s="537"/>
      <c r="S502" s="537"/>
      <c r="T502" s="537"/>
      <c r="U502" s="537"/>
    </row>
    <row r="503" spans="1:21" hidden="1" x14ac:dyDescent="0.2">
      <c r="A503" s="537" t="str">
        <f t="shared" si="14"/>
        <v>BLANK...</v>
      </c>
      <c r="B503" s="537" t="s">
        <v>193</v>
      </c>
      <c r="C503" s="537" t="str">
        <f t="shared" si="15"/>
        <v>..</v>
      </c>
      <c r="D503" s="537"/>
      <c r="E503" s="537"/>
      <c r="F503" s="537"/>
      <c r="G503" s="537"/>
      <c r="H503" s="537"/>
      <c r="I503" s="537"/>
      <c r="J503" s="537"/>
      <c r="K503" s="537"/>
      <c r="L503" s="537"/>
      <c r="M503" s="537"/>
      <c r="N503" s="537"/>
      <c r="O503" s="537"/>
      <c r="P503" s="537"/>
      <c r="Q503" s="537"/>
      <c r="R503" s="537"/>
      <c r="S503" s="537"/>
      <c r="T503" s="537"/>
      <c r="U503" s="537"/>
    </row>
    <row r="504" spans="1:21" hidden="1" x14ac:dyDescent="0.2">
      <c r="A504" s="537" t="str">
        <f t="shared" si="14"/>
        <v>BLANK...</v>
      </c>
      <c r="B504" s="537" t="s">
        <v>193</v>
      </c>
      <c r="C504" s="537" t="str">
        <f t="shared" si="15"/>
        <v>..</v>
      </c>
      <c r="D504" s="537"/>
      <c r="E504" s="537"/>
      <c r="F504" s="537"/>
      <c r="G504" s="537"/>
      <c r="H504" s="537"/>
      <c r="I504" s="537"/>
      <c r="J504" s="537"/>
      <c r="K504" s="537"/>
      <c r="L504" s="537"/>
      <c r="M504" s="537"/>
      <c r="N504" s="537"/>
      <c r="O504" s="537"/>
      <c r="P504" s="537"/>
      <c r="Q504" s="537"/>
      <c r="R504" s="537"/>
      <c r="S504" s="537"/>
      <c r="T504" s="537"/>
      <c r="U504" s="537"/>
    </row>
    <row r="505" spans="1:21" hidden="1" x14ac:dyDescent="0.2">
      <c r="A505" s="537" t="str">
        <f t="shared" si="14"/>
        <v>BLANK...</v>
      </c>
      <c r="B505" s="537" t="s">
        <v>193</v>
      </c>
      <c r="C505" s="537" t="str">
        <f t="shared" si="15"/>
        <v>..</v>
      </c>
      <c r="D505" s="537"/>
      <c r="E505" s="537"/>
      <c r="F505" s="537"/>
      <c r="G505" s="537"/>
      <c r="H505" s="537"/>
      <c r="I505" s="537"/>
      <c r="J505" s="537"/>
      <c r="K505" s="537"/>
      <c r="L505" s="537"/>
      <c r="M505" s="537"/>
      <c r="N505" s="537"/>
      <c r="O505" s="537"/>
      <c r="P505" s="537"/>
      <c r="Q505" s="537"/>
      <c r="R505" s="537"/>
      <c r="S505" s="537"/>
      <c r="T505" s="537"/>
      <c r="U505" s="537"/>
    </row>
    <row r="506" spans="1:21" hidden="1" x14ac:dyDescent="0.2">
      <c r="A506" s="537" t="str">
        <f t="shared" si="14"/>
        <v>BLANK...</v>
      </c>
      <c r="B506" s="537" t="s">
        <v>193</v>
      </c>
      <c r="C506" s="537" t="str">
        <f t="shared" si="15"/>
        <v>..</v>
      </c>
      <c r="D506" s="537"/>
      <c r="E506" s="537"/>
      <c r="F506" s="537"/>
      <c r="G506" s="537"/>
      <c r="H506" s="537"/>
      <c r="I506" s="537"/>
      <c r="J506" s="537"/>
      <c r="K506" s="537"/>
      <c r="L506" s="537"/>
      <c r="M506" s="537"/>
      <c r="N506" s="537"/>
      <c r="O506" s="537"/>
      <c r="P506" s="537"/>
      <c r="Q506" s="537"/>
      <c r="R506" s="537"/>
      <c r="S506" s="537"/>
      <c r="T506" s="537"/>
      <c r="U506" s="537"/>
    </row>
    <row r="507" spans="1:21" hidden="1" x14ac:dyDescent="0.2">
      <c r="A507" s="537" t="str">
        <f t="shared" si="14"/>
        <v>BLANK...</v>
      </c>
      <c r="B507" s="537" t="s">
        <v>193</v>
      </c>
      <c r="C507" s="537" t="str">
        <f t="shared" si="15"/>
        <v>..</v>
      </c>
      <c r="D507" s="537"/>
      <c r="E507" s="537"/>
      <c r="F507" s="537"/>
      <c r="G507" s="537"/>
      <c r="H507" s="537"/>
      <c r="I507" s="537"/>
      <c r="J507" s="537"/>
      <c r="K507" s="537"/>
      <c r="L507" s="537"/>
      <c r="M507" s="537"/>
      <c r="N507" s="537"/>
      <c r="O507" s="537"/>
      <c r="P507" s="537"/>
      <c r="Q507" s="537"/>
      <c r="R507" s="537"/>
      <c r="S507" s="537"/>
      <c r="T507" s="537"/>
      <c r="U507" s="537"/>
    </row>
    <row r="508" spans="1:21" hidden="1" x14ac:dyDescent="0.2">
      <c r="A508" s="537" t="str">
        <f t="shared" si="14"/>
        <v>BLANK...</v>
      </c>
      <c r="B508" s="537" t="s">
        <v>193</v>
      </c>
      <c r="C508" s="537" t="str">
        <f t="shared" si="15"/>
        <v>..</v>
      </c>
      <c r="D508" s="537"/>
      <c r="E508" s="537"/>
      <c r="F508" s="537"/>
      <c r="G508" s="537"/>
      <c r="H508" s="537"/>
      <c r="I508" s="537"/>
      <c r="J508" s="537"/>
      <c r="K508" s="537"/>
      <c r="L508" s="537"/>
      <c r="M508" s="537"/>
      <c r="N508" s="537"/>
      <c r="O508" s="537"/>
      <c r="P508" s="537"/>
      <c r="Q508" s="537"/>
      <c r="R508" s="537"/>
      <c r="S508" s="537"/>
      <c r="T508" s="537"/>
      <c r="U508" s="537"/>
    </row>
    <row r="509" spans="1:21" hidden="1" x14ac:dyDescent="0.2">
      <c r="A509" s="537" t="str">
        <f t="shared" si="14"/>
        <v>BLANK...</v>
      </c>
      <c r="B509" s="537" t="s">
        <v>193</v>
      </c>
      <c r="C509" s="537" t="str">
        <f t="shared" si="15"/>
        <v>..</v>
      </c>
      <c r="D509" s="537"/>
      <c r="E509" s="537"/>
      <c r="F509" s="537"/>
      <c r="G509" s="537"/>
      <c r="H509" s="537"/>
      <c r="I509" s="537"/>
      <c r="J509" s="537"/>
      <c r="K509" s="537"/>
      <c r="L509" s="537"/>
      <c r="M509" s="537"/>
      <c r="N509" s="537"/>
      <c r="O509" s="537"/>
      <c r="P509" s="537"/>
      <c r="Q509" s="537"/>
      <c r="R509" s="537"/>
      <c r="S509" s="537"/>
      <c r="T509" s="537"/>
      <c r="U509" s="537"/>
    </row>
    <row r="510" spans="1:21" hidden="1" x14ac:dyDescent="0.2">
      <c r="A510" s="537" t="str">
        <f t="shared" si="14"/>
        <v>BLANK...</v>
      </c>
      <c r="B510" s="537" t="s">
        <v>193</v>
      </c>
      <c r="C510" s="537" t="str">
        <f t="shared" si="15"/>
        <v>..</v>
      </c>
      <c r="D510" s="537"/>
      <c r="E510" s="537"/>
      <c r="F510" s="537"/>
      <c r="G510" s="537"/>
      <c r="H510" s="537"/>
      <c r="I510" s="537"/>
      <c r="J510" s="537"/>
      <c r="K510" s="537"/>
      <c r="L510" s="537"/>
      <c r="M510" s="537"/>
      <c r="N510" s="537"/>
      <c r="O510" s="537"/>
      <c r="P510" s="537"/>
      <c r="Q510" s="537"/>
      <c r="R510" s="537"/>
      <c r="S510" s="537"/>
      <c r="T510" s="537"/>
      <c r="U510" s="537"/>
    </row>
    <row r="511" spans="1:21" hidden="1" x14ac:dyDescent="0.2">
      <c r="A511" s="537" t="str">
        <f t="shared" si="14"/>
        <v>BLANK...</v>
      </c>
      <c r="B511" s="537" t="s">
        <v>193</v>
      </c>
      <c r="C511" s="537" t="str">
        <f t="shared" si="15"/>
        <v>..</v>
      </c>
      <c r="D511" s="537"/>
      <c r="E511" s="537"/>
      <c r="F511" s="537"/>
      <c r="G511" s="537"/>
      <c r="H511" s="537"/>
      <c r="I511" s="537"/>
      <c r="J511" s="537"/>
      <c r="K511" s="537"/>
      <c r="L511" s="537"/>
      <c r="M511" s="537"/>
      <c r="N511" s="537"/>
      <c r="O511" s="537"/>
      <c r="P511" s="537"/>
      <c r="Q511" s="537"/>
      <c r="R511" s="537"/>
      <c r="S511" s="537"/>
      <c r="T511" s="537"/>
      <c r="U511" s="537"/>
    </row>
    <row r="512" spans="1:21" hidden="1" x14ac:dyDescent="0.2">
      <c r="A512" s="537" t="str">
        <f t="shared" si="14"/>
        <v>BLANK...</v>
      </c>
      <c r="B512" s="537" t="s">
        <v>193</v>
      </c>
      <c r="C512" s="537" t="str">
        <f t="shared" si="15"/>
        <v>..</v>
      </c>
      <c r="D512" s="537"/>
      <c r="E512" s="537"/>
      <c r="F512" s="537"/>
      <c r="G512" s="537"/>
      <c r="H512" s="537"/>
      <c r="I512" s="537"/>
      <c r="J512" s="537"/>
      <c r="K512" s="537"/>
      <c r="L512" s="537"/>
      <c r="M512" s="537"/>
      <c r="N512" s="537"/>
      <c r="O512" s="537"/>
      <c r="P512" s="537"/>
      <c r="Q512" s="537"/>
      <c r="R512" s="537"/>
      <c r="S512" s="537"/>
      <c r="T512" s="537"/>
      <c r="U512" s="537"/>
    </row>
    <row r="513" spans="1:21" hidden="1" x14ac:dyDescent="0.2">
      <c r="A513" s="537" t="str">
        <f t="shared" si="14"/>
        <v>BLANK...</v>
      </c>
      <c r="B513" s="537" t="s">
        <v>193</v>
      </c>
      <c r="C513" s="537" t="str">
        <f t="shared" si="15"/>
        <v>..</v>
      </c>
      <c r="D513" s="537"/>
      <c r="E513" s="537"/>
      <c r="F513" s="537"/>
      <c r="G513" s="537"/>
      <c r="H513" s="537"/>
      <c r="I513" s="537"/>
      <c r="J513" s="537"/>
      <c r="K513" s="537"/>
      <c r="L513" s="537"/>
      <c r="M513" s="537"/>
      <c r="N513" s="537"/>
      <c r="O513" s="537"/>
      <c r="P513" s="537"/>
      <c r="Q513" s="537"/>
      <c r="R513" s="537"/>
      <c r="S513" s="537"/>
      <c r="T513" s="537"/>
      <c r="U513" s="537"/>
    </row>
    <row r="514" spans="1:21" hidden="1" x14ac:dyDescent="0.2">
      <c r="A514" s="537" t="str">
        <f t="shared" si="14"/>
        <v>BLANK...</v>
      </c>
      <c r="B514" s="537" t="s">
        <v>193</v>
      </c>
      <c r="C514" s="537" t="str">
        <f t="shared" si="15"/>
        <v>..</v>
      </c>
      <c r="D514" s="537"/>
      <c r="E514" s="537"/>
      <c r="F514" s="537"/>
      <c r="G514" s="537"/>
      <c r="H514" s="537"/>
      <c r="I514" s="537"/>
      <c r="J514" s="537"/>
      <c r="K514" s="537"/>
      <c r="L514" s="537"/>
      <c r="M514" s="537"/>
      <c r="N514" s="537"/>
      <c r="O514" s="537"/>
      <c r="P514" s="537"/>
      <c r="Q514" s="537"/>
      <c r="R514" s="537"/>
      <c r="S514" s="537"/>
      <c r="T514" s="537"/>
      <c r="U514" s="537"/>
    </row>
    <row r="515" spans="1:21" hidden="1" x14ac:dyDescent="0.2">
      <c r="A515" s="537" t="str">
        <f t="shared" si="14"/>
        <v>BLANK...</v>
      </c>
      <c r="B515" s="537" t="s">
        <v>193</v>
      </c>
      <c r="C515" s="537" t="str">
        <f t="shared" si="15"/>
        <v>..</v>
      </c>
      <c r="D515" s="537"/>
      <c r="E515" s="537"/>
      <c r="F515" s="537"/>
      <c r="G515" s="537"/>
      <c r="H515" s="537"/>
      <c r="I515" s="537"/>
      <c r="J515" s="537"/>
      <c r="K515" s="537"/>
      <c r="L515" s="537"/>
      <c r="M515" s="537"/>
      <c r="N515" s="537"/>
      <c r="O515" s="537"/>
      <c r="P515" s="537"/>
      <c r="Q515" s="537"/>
      <c r="R515" s="537"/>
      <c r="S515" s="537"/>
      <c r="T515" s="537"/>
      <c r="U515" s="537"/>
    </row>
    <row r="516" spans="1:21" hidden="1" x14ac:dyDescent="0.2">
      <c r="A516" s="537" t="str">
        <f t="shared" si="14"/>
        <v>BLANK...</v>
      </c>
      <c r="B516" s="537" t="s">
        <v>193</v>
      </c>
      <c r="C516" s="537" t="str">
        <f t="shared" si="15"/>
        <v>..</v>
      </c>
      <c r="D516" s="537"/>
      <c r="E516" s="537"/>
      <c r="F516" s="537"/>
      <c r="G516" s="537"/>
      <c r="H516" s="537"/>
      <c r="I516" s="537"/>
      <c r="J516" s="537"/>
      <c r="K516" s="537"/>
      <c r="L516" s="537"/>
      <c r="M516" s="537"/>
      <c r="N516" s="537"/>
      <c r="O516" s="537"/>
      <c r="P516" s="537"/>
      <c r="Q516" s="537"/>
      <c r="R516" s="537"/>
      <c r="S516" s="537"/>
      <c r="T516" s="537"/>
      <c r="U516" s="537"/>
    </row>
    <row r="517" spans="1:21" hidden="1" x14ac:dyDescent="0.2">
      <c r="A517" s="537" t="str">
        <f t="shared" si="14"/>
        <v>BLANK...</v>
      </c>
      <c r="B517" s="537" t="s">
        <v>193</v>
      </c>
      <c r="C517" s="537" t="str">
        <f t="shared" si="15"/>
        <v>..</v>
      </c>
      <c r="D517" s="537"/>
      <c r="E517" s="537"/>
      <c r="F517" s="537"/>
      <c r="G517" s="537"/>
      <c r="H517" s="537"/>
      <c r="I517" s="537"/>
      <c r="J517" s="537"/>
      <c r="K517" s="537"/>
      <c r="L517" s="537"/>
      <c r="M517" s="537"/>
      <c r="N517" s="537"/>
      <c r="O517" s="537"/>
      <c r="P517" s="537"/>
      <c r="Q517" s="537"/>
      <c r="R517" s="537"/>
      <c r="S517" s="537"/>
      <c r="T517" s="537"/>
      <c r="U517" s="537"/>
    </row>
    <row r="518" spans="1:21" hidden="1" x14ac:dyDescent="0.2">
      <c r="A518" s="537" t="str">
        <f t="shared" si="14"/>
        <v>BLANK...</v>
      </c>
      <c r="B518" s="537" t="s">
        <v>193</v>
      </c>
      <c r="C518" s="537" t="str">
        <f t="shared" si="15"/>
        <v>..</v>
      </c>
      <c r="D518" s="537"/>
      <c r="E518" s="537"/>
      <c r="F518" s="537"/>
      <c r="G518" s="537"/>
      <c r="H518" s="537"/>
      <c r="I518" s="537"/>
      <c r="J518" s="537"/>
      <c r="K518" s="537"/>
      <c r="L518" s="537"/>
      <c r="M518" s="537"/>
      <c r="N518" s="537"/>
      <c r="O518" s="537"/>
      <c r="P518" s="537"/>
      <c r="Q518" s="537"/>
      <c r="R518" s="537"/>
      <c r="S518" s="537"/>
      <c r="T518" s="537"/>
      <c r="U518" s="537"/>
    </row>
    <row r="519" spans="1:21" hidden="1" x14ac:dyDescent="0.2">
      <c r="A519" s="537" t="str">
        <f t="shared" si="14"/>
        <v>BLANK...</v>
      </c>
      <c r="B519" s="537" t="s">
        <v>193</v>
      </c>
      <c r="C519" s="537" t="str">
        <f t="shared" si="15"/>
        <v>..</v>
      </c>
      <c r="D519" s="537"/>
      <c r="E519" s="537"/>
      <c r="F519" s="537"/>
      <c r="G519" s="537"/>
      <c r="H519" s="537"/>
      <c r="I519" s="537"/>
      <c r="J519" s="537"/>
      <c r="K519" s="537"/>
      <c r="L519" s="537"/>
      <c r="M519" s="537"/>
      <c r="N519" s="537"/>
      <c r="O519" s="537"/>
      <c r="P519" s="537"/>
      <c r="Q519" s="537"/>
      <c r="R519" s="537"/>
      <c r="S519" s="537"/>
      <c r="T519" s="537"/>
      <c r="U519" s="537"/>
    </row>
    <row r="520" spans="1:21" hidden="1" x14ac:dyDescent="0.2">
      <c r="A520" s="537" t="str">
        <f t="shared" si="14"/>
        <v>BLANK...</v>
      </c>
      <c r="B520" s="537" t="s">
        <v>193</v>
      </c>
      <c r="C520" s="537" t="str">
        <f t="shared" si="15"/>
        <v>..</v>
      </c>
      <c r="D520" s="537"/>
      <c r="E520" s="537"/>
      <c r="F520" s="537"/>
      <c r="G520" s="537"/>
      <c r="H520" s="537"/>
      <c r="I520" s="537"/>
      <c r="J520" s="537"/>
      <c r="K520" s="537"/>
      <c r="L520" s="537"/>
      <c r="M520" s="537"/>
      <c r="N520" s="537"/>
      <c r="O520" s="537"/>
      <c r="P520" s="537"/>
      <c r="Q520" s="537"/>
      <c r="R520" s="537"/>
      <c r="S520" s="537"/>
      <c r="T520" s="537"/>
      <c r="U520" s="537"/>
    </row>
    <row r="521" spans="1:21" hidden="1" x14ac:dyDescent="0.2">
      <c r="A521" s="537" t="str">
        <f t="shared" ref="A521:A584" si="16">B521&amp;"."&amp;D521&amp;"."&amp;E521&amp;"."&amp;F521</f>
        <v>BLANK...</v>
      </c>
      <c r="B521" s="537" t="s">
        <v>193</v>
      </c>
      <c r="C521" s="537" t="str">
        <f t="shared" ref="C521:C584" si="17">D521&amp;"."&amp;E521&amp;"."&amp;F521</f>
        <v>..</v>
      </c>
      <c r="D521" s="537"/>
      <c r="E521" s="537"/>
      <c r="F521" s="537"/>
      <c r="G521" s="537"/>
      <c r="H521" s="537"/>
      <c r="I521" s="537"/>
      <c r="J521" s="537"/>
      <c r="K521" s="537"/>
      <c r="L521" s="537"/>
      <c r="M521" s="537"/>
      <c r="N521" s="537"/>
      <c r="O521" s="537"/>
      <c r="P521" s="537"/>
      <c r="Q521" s="537"/>
      <c r="R521" s="537"/>
      <c r="S521" s="537"/>
      <c r="T521" s="537"/>
      <c r="U521" s="537"/>
    </row>
    <row r="522" spans="1:21" hidden="1" x14ac:dyDescent="0.2">
      <c r="A522" s="537" t="str">
        <f t="shared" si="16"/>
        <v>BLANK...</v>
      </c>
      <c r="B522" s="537" t="s">
        <v>193</v>
      </c>
      <c r="C522" s="537" t="str">
        <f t="shared" si="17"/>
        <v>..</v>
      </c>
      <c r="D522" s="537"/>
      <c r="E522" s="537"/>
      <c r="F522" s="537"/>
      <c r="G522" s="537"/>
      <c r="H522" s="537"/>
      <c r="I522" s="537"/>
      <c r="J522" s="537"/>
      <c r="K522" s="537"/>
      <c r="L522" s="537"/>
      <c r="M522" s="537"/>
      <c r="N522" s="537"/>
      <c r="O522" s="537"/>
      <c r="P522" s="537"/>
      <c r="Q522" s="537"/>
      <c r="R522" s="537"/>
      <c r="S522" s="537"/>
      <c r="T522" s="537"/>
      <c r="U522" s="537"/>
    </row>
    <row r="523" spans="1:21" hidden="1" x14ac:dyDescent="0.2">
      <c r="A523" s="537" t="str">
        <f t="shared" si="16"/>
        <v>BLANK...</v>
      </c>
      <c r="B523" s="537" t="s">
        <v>193</v>
      </c>
      <c r="C523" s="537" t="str">
        <f t="shared" si="17"/>
        <v>..</v>
      </c>
      <c r="D523" s="537"/>
      <c r="E523" s="537"/>
      <c r="F523" s="537"/>
      <c r="G523" s="537"/>
      <c r="H523" s="537"/>
      <c r="I523" s="537"/>
      <c r="J523" s="537"/>
      <c r="K523" s="537"/>
      <c r="L523" s="537"/>
      <c r="M523" s="537"/>
      <c r="N523" s="537"/>
      <c r="O523" s="537"/>
      <c r="P523" s="537"/>
      <c r="Q523" s="537"/>
      <c r="R523" s="537"/>
      <c r="S523" s="537"/>
      <c r="T523" s="537"/>
      <c r="U523" s="537"/>
    </row>
    <row r="524" spans="1:21" hidden="1" x14ac:dyDescent="0.2">
      <c r="A524" s="537" t="str">
        <f t="shared" si="16"/>
        <v>BLANK...</v>
      </c>
      <c r="B524" s="537" t="s">
        <v>193</v>
      </c>
      <c r="C524" s="537" t="str">
        <f t="shared" si="17"/>
        <v>..</v>
      </c>
      <c r="D524" s="537"/>
      <c r="E524" s="537"/>
      <c r="F524" s="537"/>
      <c r="G524" s="537"/>
      <c r="H524" s="537"/>
      <c r="I524" s="537"/>
      <c r="J524" s="537"/>
      <c r="K524" s="537"/>
      <c r="L524" s="537"/>
      <c r="M524" s="537"/>
      <c r="N524" s="537"/>
      <c r="O524" s="537"/>
      <c r="P524" s="537"/>
      <c r="Q524" s="537"/>
      <c r="R524" s="537"/>
      <c r="S524" s="537"/>
      <c r="T524" s="537"/>
      <c r="U524" s="537"/>
    </row>
    <row r="525" spans="1:21" hidden="1" x14ac:dyDescent="0.2">
      <c r="A525" s="537" t="str">
        <f t="shared" si="16"/>
        <v>BLANK...</v>
      </c>
      <c r="B525" s="537" t="s">
        <v>193</v>
      </c>
      <c r="C525" s="537" t="str">
        <f t="shared" si="17"/>
        <v>..</v>
      </c>
      <c r="D525" s="537"/>
      <c r="E525" s="537"/>
      <c r="F525" s="537"/>
      <c r="G525" s="537"/>
      <c r="H525" s="537"/>
      <c r="I525" s="537"/>
      <c r="J525" s="537"/>
      <c r="K525" s="537"/>
      <c r="L525" s="537"/>
      <c r="M525" s="537"/>
      <c r="N525" s="537"/>
      <c r="O525" s="537"/>
      <c r="P525" s="537"/>
      <c r="Q525" s="537"/>
      <c r="R525" s="537"/>
      <c r="S525" s="537"/>
      <c r="T525" s="537"/>
      <c r="U525" s="537"/>
    </row>
    <row r="526" spans="1:21" hidden="1" x14ac:dyDescent="0.2">
      <c r="A526" s="537" t="str">
        <f t="shared" si="16"/>
        <v>BLANK...</v>
      </c>
      <c r="B526" s="537" t="s">
        <v>193</v>
      </c>
      <c r="C526" s="537" t="str">
        <f t="shared" si="17"/>
        <v>..</v>
      </c>
      <c r="D526" s="537"/>
      <c r="E526" s="537"/>
      <c r="F526" s="537"/>
      <c r="G526" s="537"/>
      <c r="H526" s="537"/>
      <c r="I526" s="537"/>
      <c r="J526" s="537"/>
      <c r="K526" s="537"/>
      <c r="L526" s="537"/>
      <c r="M526" s="537"/>
      <c r="N526" s="537"/>
      <c r="O526" s="537"/>
      <c r="P526" s="537"/>
      <c r="Q526" s="537"/>
      <c r="R526" s="537"/>
      <c r="S526" s="537"/>
      <c r="T526" s="537"/>
      <c r="U526" s="537"/>
    </row>
    <row r="527" spans="1:21" hidden="1" x14ac:dyDescent="0.2">
      <c r="A527" s="537" t="str">
        <f t="shared" si="16"/>
        <v>BLANK...</v>
      </c>
      <c r="B527" s="537" t="s">
        <v>193</v>
      </c>
      <c r="C527" s="537" t="str">
        <f t="shared" si="17"/>
        <v>..</v>
      </c>
      <c r="D527" s="537"/>
      <c r="E527" s="537"/>
      <c r="F527" s="537"/>
      <c r="G527" s="537"/>
      <c r="H527" s="537"/>
      <c r="I527" s="537"/>
      <c r="J527" s="537"/>
      <c r="K527" s="537"/>
      <c r="L527" s="537"/>
      <c r="M527" s="537"/>
      <c r="N527" s="537"/>
      <c r="O527" s="537"/>
      <c r="P527" s="537"/>
      <c r="Q527" s="537"/>
      <c r="R527" s="537"/>
      <c r="S527" s="537"/>
      <c r="T527" s="537"/>
      <c r="U527" s="537"/>
    </row>
    <row r="528" spans="1:21" hidden="1" x14ac:dyDescent="0.2">
      <c r="A528" s="537" t="str">
        <f t="shared" si="16"/>
        <v>BLANK...</v>
      </c>
      <c r="B528" s="537" t="s">
        <v>193</v>
      </c>
      <c r="C528" s="537" t="str">
        <f t="shared" si="17"/>
        <v>..</v>
      </c>
      <c r="D528" s="537"/>
      <c r="E528" s="537"/>
      <c r="F528" s="537"/>
      <c r="G528" s="537"/>
      <c r="H528" s="537"/>
      <c r="I528" s="537"/>
      <c r="J528" s="537"/>
      <c r="K528" s="537"/>
      <c r="L528" s="537"/>
      <c r="M528" s="537"/>
      <c r="N528" s="537"/>
      <c r="O528" s="537"/>
      <c r="P528" s="537"/>
      <c r="Q528" s="537"/>
      <c r="R528" s="537"/>
      <c r="S528" s="537"/>
      <c r="T528" s="537"/>
      <c r="U528" s="537"/>
    </row>
    <row r="529" spans="1:21" hidden="1" x14ac:dyDescent="0.2">
      <c r="A529" s="537" t="str">
        <f t="shared" si="16"/>
        <v>BLANK...</v>
      </c>
      <c r="B529" s="537" t="s">
        <v>193</v>
      </c>
      <c r="C529" s="537" t="str">
        <f t="shared" si="17"/>
        <v>..</v>
      </c>
      <c r="D529" s="537"/>
      <c r="E529" s="537"/>
      <c r="F529" s="537"/>
      <c r="G529" s="537"/>
      <c r="H529" s="537"/>
      <c r="I529" s="537"/>
      <c r="J529" s="537"/>
      <c r="K529" s="537"/>
      <c r="L529" s="537"/>
      <c r="M529" s="537"/>
      <c r="N529" s="537"/>
      <c r="O529" s="537"/>
      <c r="P529" s="537"/>
      <c r="Q529" s="537"/>
      <c r="R529" s="537"/>
      <c r="S529" s="537"/>
      <c r="T529" s="537"/>
      <c r="U529" s="537"/>
    </row>
    <row r="530" spans="1:21" hidden="1" x14ac:dyDescent="0.2">
      <c r="A530" s="537" t="str">
        <f t="shared" si="16"/>
        <v>BLANK...</v>
      </c>
      <c r="B530" s="537" t="s">
        <v>193</v>
      </c>
      <c r="C530" s="537" t="str">
        <f t="shared" si="17"/>
        <v>..</v>
      </c>
      <c r="D530" s="537"/>
      <c r="E530" s="537"/>
      <c r="F530" s="537"/>
      <c r="G530" s="537"/>
      <c r="H530" s="537"/>
      <c r="I530" s="537"/>
      <c r="J530" s="537"/>
      <c r="K530" s="537"/>
      <c r="L530" s="537"/>
      <c r="M530" s="537"/>
      <c r="N530" s="537"/>
      <c r="O530" s="537"/>
      <c r="P530" s="537"/>
      <c r="Q530" s="537"/>
      <c r="R530" s="537"/>
      <c r="S530" s="537"/>
      <c r="T530" s="537"/>
      <c r="U530" s="537"/>
    </row>
    <row r="531" spans="1:21" hidden="1" x14ac:dyDescent="0.2">
      <c r="A531" s="537" t="str">
        <f t="shared" si="16"/>
        <v>BLANK...</v>
      </c>
      <c r="B531" s="537" t="s">
        <v>193</v>
      </c>
      <c r="C531" s="537" t="str">
        <f t="shared" si="17"/>
        <v>..</v>
      </c>
      <c r="D531" s="537"/>
      <c r="E531" s="537"/>
      <c r="F531" s="537"/>
      <c r="G531" s="537"/>
      <c r="H531" s="537"/>
      <c r="I531" s="537"/>
      <c r="J531" s="537"/>
      <c r="K531" s="537"/>
      <c r="L531" s="537"/>
      <c r="M531" s="537"/>
      <c r="N531" s="537"/>
      <c r="O531" s="537"/>
      <c r="P531" s="537"/>
      <c r="Q531" s="537"/>
      <c r="R531" s="537"/>
      <c r="S531" s="537"/>
      <c r="T531" s="537"/>
      <c r="U531" s="537"/>
    </row>
    <row r="532" spans="1:21" hidden="1" x14ac:dyDescent="0.2">
      <c r="A532" s="537" t="str">
        <f t="shared" si="16"/>
        <v>BLANK...</v>
      </c>
      <c r="B532" s="537" t="s">
        <v>193</v>
      </c>
      <c r="C532" s="537" t="str">
        <f t="shared" si="17"/>
        <v>..</v>
      </c>
      <c r="D532" s="537"/>
      <c r="E532" s="537"/>
      <c r="F532" s="537"/>
      <c r="G532" s="537"/>
      <c r="H532" s="537"/>
      <c r="I532" s="537"/>
      <c r="J532" s="537"/>
      <c r="K532" s="537"/>
      <c r="L532" s="537"/>
      <c r="M532" s="537"/>
      <c r="N532" s="537"/>
      <c r="O532" s="537"/>
      <c r="P532" s="537"/>
      <c r="Q532" s="537"/>
      <c r="R532" s="537"/>
      <c r="S532" s="537"/>
      <c r="T532" s="537"/>
      <c r="U532" s="537"/>
    </row>
    <row r="533" spans="1:21" hidden="1" x14ac:dyDescent="0.2">
      <c r="A533" s="537" t="str">
        <f t="shared" si="16"/>
        <v>BLANK...</v>
      </c>
      <c r="B533" s="537" t="s">
        <v>193</v>
      </c>
      <c r="C533" s="537" t="str">
        <f t="shared" si="17"/>
        <v>..</v>
      </c>
      <c r="D533" s="537"/>
      <c r="E533" s="537"/>
      <c r="F533" s="537"/>
      <c r="G533" s="537"/>
      <c r="H533" s="537"/>
      <c r="I533" s="537"/>
      <c r="J533" s="537"/>
      <c r="K533" s="537"/>
      <c r="L533" s="537"/>
      <c r="M533" s="537"/>
      <c r="N533" s="537"/>
      <c r="O533" s="537"/>
      <c r="P533" s="537"/>
      <c r="Q533" s="537"/>
      <c r="R533" s="537"/>
      <c r="S533" s="537"/>
      <c r="T533" s="537"/>
      <c r="U533" s="537"/>
    </row>
    <row r="534" spans="1:21" hidden="1" x14ac:dyDescent="0.2">
      <c r="A534" s="537" t="str">
        <f t="shared" si="16"/>
        <v>BLANK...</v>
      </c>
      <c r="B534" s="537" t="s">
        <v>193</v>
      </c>
      <c r="C534" s="537" t="str">
        <f t="shared" si="17"/>
        <v>..</v>
      </c>
      <c r="D534" s="537"/>
      <c r="E534" s="537"/>
      <c r="F534" s="537"/>
      <c r="G534" s="537"/>
      <c r="H534" s="537"/>
      <c r="I534" s="537"/>
      <c r="J534" s="537"/>
      <c r="K534" s="537"/>
      <c r="L534" s="537"/>
      <c r="M534" s="537"/>
      <c r="N534" s="537"/>
      <c r="O534" s="537"/>
      <c r="P534" s="537"/>
      <c r="Q534" s="537"/>
      <c r="R534" s="537"/>
      <c r="S534" s="537"/>
      <c r="T534" s="537"/>
      <c r="U534" s="537"/>
    </row>
    <row r="535" spans="1:21" hidden="1" x14ac:dyDescent="0.2">
      <c r="A535" s="537" t="str">
        <f t="shared" si="16"/>
        <v>BLANK...</v>
      </c>
      <c r="B535" s="537" t="s">
        <v>193</v>
      </c>
      <c r="C535" s="537" t="str">
        <f t="shared" si="17"/>
        <v>..</v>
      </c>
      <c r="D535" s="537"/>
      <c r="E535" s="537"/>
      <c r="F535" s="537"/>
      <c r="G535" s="537"/>
      <c r="H535" s="537"/>
      <c r="I535" s="537"/>
      <c r="J535" s="537"/>
      <c r="K535" s="537"/>
      <c r="L535" s="537"/>
      <c r="M535" s="537"/>
      <c r="N535" s="537"/>
      <c r="O535" s="537"/>
      <c r="P535" s="537"/>
      <c r="Q535" s="537"/>
      <c r="R535" s="537"/>
      <c r="S535" s="537"/>
      <c r="T535" s="537"/>
      <c r="U535" s="537"/>
    </row>
    <row r="536" spans="1:21" hidden="1" x14ac:dyDescent="0.2">
      <c r="A536" s="537" t="str">
        <f t="shared" si="16"/>
        <v>BLANK...</v>
      </c>
      <c r="B536" s="537" t="s">
        <v>193</v>
      </c>
      <c r="C536" s="537" t="str">
        <f t="shared" si="17"/>
        <v>..</v>
      </c>
      <c r="D536" s="537"/>
      <c r="E536" s="537"/>
      <c r="F536" s="537"/>
      <c r="G536" s="537"/>
      <c r="H536" s="537"/>
      <c r="I536" s="537"/>
      <c r="J536" s="537"/>
      <c r="K536" s="537"/>
      <c r="L536" s="537"/>
      <c r="M536" s="537"/>
      <c r="N536" s="537"/>
      <c r="O536" s="537"/>
      <c r="P536" s="537"/>
      <c r="Q536" s="537"/>
      <c r="R536" s="537"/>
      <c r="S536" s="537"/>
      <c r="T536" s="537"/>
      <c r="U536" s="537"/>
    </row>
    <row r="537" spans="1:21" hidden="1" x14ac:dyDescent="0.2">
      <c r="A537" s="537" t="str">
        <f t="shared" si="16"/>
        <v>BLANK...</v>
      </c>
      <c r="B537" s="537" t="s">
        <v>193</v>
      </c>
      <c r="C537" s="537" t="str">
        <f t="shared" si="17"/>
        <v>..</v>
      </c>
      <c r="D537" s="537"/>
      <c r="E537" s="537"/>
      <c r="F537" s="537"/>
      <c r="G537" s="537"/>
      <c r="H537" s="537"/>
      <c r="I537" s="537"/>
      <c r="J537" s="537"/>
      <c r="K537" s="537"/>
      <c r="L537" s="537"/>
      <c r="M537" s="537"/>
      <c r="N537" s="537"/>
      <c r="O537" s="537"/>
      <c r="P537" s="537"/>
      <c r="Q537" s="537"/>
      <c r="R537" s="537"/>
      <c r="S537" s="537"/>
      <c r="T537" s="537"/>
      <c r="U537" s="537"/>
    </row>
    <row r="538" spans="1:21" hidden="1" x14ac:dyDescent="0.2">
      <c r="A538" s="537" t="str">
        <f t="shared" si="16"/>
        <v>BLANK...</v>
      </c>
      <c r="B538" s="537" t="s">
        <v>193</v>
      </c>
      <c r="C538" s="537" t="str">
        <f t="shared" si="17"/>
        <v>..</v>
      </c>
      <c r="D538" s="537"/>
      <c r="E538" s="537"/>
      <c r="F538" s="537"/>
      <c r="G538" s="537"/>
      <c r="H538" s="537"/>
      <c r="I538" s="537"/>
      <c r="J538" s="537"/>
      <c r="K538" s="537"/>
      <c r="L538" s="537"/>
      <c r="M538" s="537"/>
      <c r="N538" s="537"/>
      <c r="O538" s="537"/>
      <c r="P538" s="537"/>
      <c r="Q538" s="537"/>
      <c r="R538" s="537"/>
      <c r="S538" s="537"/>
      <c r="T538" s="537"/>
      <c r="U538" s="537"/>
    </row>
    <row r="539" spans="1:21" hidden="1" x14ac:dyDescent="0.2">
      <c r="A539" s="537" t="str">
        <f t="shared" si="16"/>
        <v>BLANK...</v>
      </c>
      <c r="B539" s="537" t="s">
        <v>193</v>
      </c>
      <c r="C539" s="537" t="str">
        <f t="shared" si="17"/>
        <v>..</v>
      </c>
      <c r="D539" s="537"/>
      <c r="E539" s="537"/>
      <c r="F539" s="537"/>
      <c r="G539" s="537"/>
      <c r="H539" s="537"/>
      <c r="I539" s="537"/>
      <c r="J539" s="537"/>
      <c r="K539" s="537"/>
      <c r="L539" s="537"/>
      <c r="M539" s="537"/>
      <c r="N539" s="537"/>
      <c r="O539" s="537"/>
      <c r="P539" s="537"/>
      <c r="Q539" s="537"/>
      <c r="R539" s="537"/>
      <c r="S539" s="537"/>
      <c r="T539" s="537"/>
      <c r="U539" s="537"/>
    </row>
    <row r="540" spans="1:21" hidden="1" x14ac:dyDescent="0.2">
      <c r="A540" s="537" t="str">
        <f t="shared" si="16"/>
        <v>BLANK...</v>
      </c>
      <c r="B540" s="537" t="s">
        <v>193</v>
      </c>
      <c r="C540" s="537" t="str">
        <f t="shared" si="17"/>
        <v>..</v>
      </c>
      <c r="D540" s="537"/>
      <c r="E540" s="537"/>
      <c r="F540" s="537"/>
      <c r="G540" s="537"/>
      <c r="H540" s="537"/>
      <c r="I540" s="537"/>
      <c r="J540" s="537"/>
      <c r="K540" s="537"/>
      <c r="L540" s="537"/>
      <c r="M540" s="537"/>
      <c r="N540" s="537"/>
      <c r="O540" s="537"/>
      <c r="P540" s="537"/>
      <c r="Q540" s="537"/>
      <c r="R540" s="537"/>
      <c r="S540" s="537"/>
      <c r="T540" s="537"/>
      <c r="U540" s="537"/>
    </row>
    <row r="541" spans="1:21" hidden="1" x14ac:dyDescent="0.2">
      <c r="A541" s="537" t="str">
        <f t="shared" si="16"/>
        <v>BLANK...</v>
      </c>
      <c r="B541" s="537" t="s">
        <v>193</v>
      </c>
      <c r="C541" s="537" t="str">
        <f t="shared" si="17"/>
        <v>..</v>
      </c>
      <c r="D541" s="537"/>
      <c r="E541" s="537"/>
      <c r="F541" s="537"/>
      <c r="G541" s="537"/>
      <c r="H541" s="537"/>
      <c r="I541" s="537"/>
      <c r="J541" s="537"/>
      <c r="K541" s="537"/>
      <c r="L541" s="537"/>
      <c r="M541" s="537"/>
      <c r="N541" s="537"/>
      <c r="O541" s="537"/>
      <c r="P541" s="537"/>
      <c r="Q541" s="537"/>
      <c r="R541" s="537"/>
      <c r="S541" s="537"/>
      <c r="T541" s="537"/>
      <c r="U541" s="537"/>
    </row>
    <row r="542" spans="1:21" hidden="1" x14ac:dyDescent="0.2">
      <c r="A542" s="537" t="str">
        <f t="shared" si="16"/>
        <v>BLANK...</v>
      </c>
      <c r="B542" s="537" t="s">
        <v>193</v>
      </c>
      <c r="C542" s="537" t="str">
        <f t="shared" si="17"/>
        <v>..</v>
      </c>
      <c r="D542" s="537"/>
      <c r="E542" s="537"/>
      <c r="F542" s="537"/>
      <c r="G542" s="537"/>
      <c r="H542" s="537"/>
      <c r="I542" s="537"/>
      <c r="J542" s="537"/>
      <c r="K542" s="537"/>
      <c r="L542" s="537"/>
      <c r="M542" s="537"/>
      <c r="N542" s="537"/>
      <c r="O542" s="537"/>
      <c r="P542" s="537"/>
      <c r="Q542" s="537"/>
      <c r="R542" s="537"/>
      <c r="S542" s="537"/>
      <c r="T542" s="537"/>
      <c r="U542" s="537"/>
    </row>
    <row r="543" spans="1:21" hidden="1" x14ac:dyDescent="0.2">
      <c r="A543" s="537" t="str">
        <f t="shared" si="16"/>
        <v>BLANK...</v>
      </c>
      <c r="B543" s="537" t="s">
        <v>193</v>
      </c>
      <c r="C543" s="537" t="str">
        <f t="shared" si="17"/>
        <v>..</v>
      </c>
      <c r="D543" s="537"/>
      <c r="E543" s="537"/>
      <c r="F543" s="537"/>
      <c r="G543" s="537"/>
      <c r="H543" s="537"/>
      <c r="I543" s="537"/>
      <c r="J543" s="537"/>
      <c r="K543" s="537"/>
      <c r="L543" s="537"/>
      <c r="M543" s="537"/>
      <c r="N543" s="537"/>
      <c r="O543" s="537"/>
      <c r="P543" s="537"/>
      <c r="Q543" s="537"/>
      <c r="R543" s="537"/>
      <c r="S543" s="537"/>
      <c r="T543" s="537"/>
      <c r="U543" s="537"/>
    </row>
    <row r="544" spans="1:21" hidden="1" x14ac:dyDescent="0.2">
      <c r="A544" s="537" t="str">
        <f t="shared" si="16"/>
        <v>BLANK...</v>
      </c>
      <c r="B544" s="537" t="s">
        <v>193</v>
      </c>
      <c r="C544" s="537" t="str">
        <f t="shared" si="17"/>
        <v>..</v>
      </c>
      <c r="D544" s="537"/>
      <c r="E544" s="537"/>
      <c r="F544" s="537"/>
      <c r="G544" s="537"/>
      <c r="H544" s="537"/>
      <c r="I544" s="537"/>
      <c r="J544" s="537"/>
      <c r="K544" s="537"/>
      <c r="L544" s="537"/>
      <c r="M544" s="537"/>
      <c r="N544" s="537"/>
      <c r="O544" s="537"/>
      <c r="P544" s="537"/>
      <c r="Q544" s="537"/>
      <c r="R544" s="537"/>
      <c r="S544" s="537"/>
      <c r="T544" s="537"/>
      <c r="U544" s="537"/>
    </row>
    <row r="545" spans="1:21" hidden="1" x14ac:dyDescent="0.2">
      <c r="A545" s="537" t="str">
        <f t="shared" si="16"/>
        <v>BLANK...</v>
      </c>
      <c r="B545" s="537" t="s">
        <v>193</v>
      </c>
      <c r="C545" s="537" t="str">
        <f t="shared" si="17"/>
        <v>..</v>
      </c>
      <c r="D545" s="537"/>
      <c r="E545" s="537"/>
      <c r="F545" s="537"/>
      <c r="G545" s="537"/>
      <c r="H545" s="537"/>
      <c r="I545" s="537"/>
      <c r="J545" s="537"/>
      <c r="K545" s="537"/>
      <c r="L545" s="537"/>
      <c r="M545" s="537"/>
      <c r="N545" s="537"/>
      <c r="O545" s="537"/>
      <c r="P545" s="537"/>
      <c r="Q545" s="537"/>
      <c r="R545" s="537"/>
      <c r="S545" s="537"/>
      <c r="T545" s="537"/>
      <c r="U545" s="537"/>
    </row>
    <row r="546" spans="1:21" hidden="1" x14ac:dyDescent="0.2">
      <c r="A546" s="537" t="str">
        <f t="shared" si="16"/>
        <v>BLANK...</v>
      </c>
      <c r="B546" s="537" t="s">
        <v>193</v>
      </c>
      <c r="C546" s="537" t="str">
        <f t="shared" si="17"/>
        <v>..</v>
      </c>
      <c r="D546" s="537"/>
      <c r="E546" s="537"/>
      <c r="F546" s="537"/>
      <c r="G546" s="537"/>
      <c r="H546" s="537"/>
      <c r="I546" s="537"/>
      <c r="J546" s="537"/>
      <c r="K546" s="537"/>
      <c r="L546" s="537"/>
      <c r="M546" s="537"/>
      <c r="N546" s="537"/>
      <c r="O546" s="537"/>
      <c r="P546" s="537"/>
      <c r="Q546" s="537"/>
      <c r="R546" s="537"/>
      <c r="S546" s="537"/>
      <c r="T546" s="537"/>
      <c r="U546" s="537"/>
    </row>
    <row r="547" spans="1:21" hidden="1" x14ac:dyDescent="0.2">
      <c r="A547" s="537" t="str">
        <f t="shared" si="16"/>
        <v>BLANK...</v>
      </c>
      <c r="B547" s="537" t="s">
        <v>193</v>
      </c>
      <c r="C547" s="537" t="str">
        <f t="shared" si="17"/>
        <v>..</v>
      </c>
      <c r="D547" s="537"/>
      <c r="E547" s="537"/>
      <c r="F547" s="537"/>
      <c r="G547" s="537"/>
      <c r="H547" s="537"/>
      <c r="I547" s="537"/>
      <c r="J547" s="537"/>
      <c r="K547" s="537"/>
      <c r="L547" s="537"/>
      <c r="M547" s="537"/>
      <c r="N547" s="537"/>
      <c r="O547" s="537"/>
      <c r="P547" s="537"/>
      <c r="Q547" s="537"/>
      <c r="R547" s="537"/>
      <c r="S547" s="537"/>
      <c r="T547" s="537"/>
      <c r="U547" s="537"/>
    </row>
    <row r="548" spans="1:21" hidden="1" x14ac:dyDescent="0.2">
      <c r="A548" s="537" t="str">
        <f t="shared" si="16"/>
        <v>BLANK...</v>
      </c>
      <c r="B548" s="537" t="s">
        <v>193</v>
      </c>
      <c r="C548" s="537" t="str">
        <f t="shared" si="17"/>
        <v>..</v>
      </c>
      <c r="D548" s="537"/>
      <c r="E548" s="537"/>
      <c r="F548" s="537"/>
      <c r="G548" s="537"/>
      <c r="H548" s="537"/>
      <c r="I548" s="537"/>
      <c r="J548" s="537"/>
      <c r="K548" s="537"/>
      <c r="L548" s="537"/>
      <c r="M548" s="537"/>
      <c r="N548" s="537"/>
      <c r="O548" s="537"/>
      <c r="P548" s="537"/>
      <c r="Q548" s="537"/>
      <c r="R548" s="537"/>
      <c r="S548" s="537"/>
      <c r="T548" s="537"/>
      <c r="U548" s="537"/>
    </row>
    <row r="549" spans="1:21" hidden="1" x14ac:dyDescent="0.2">
      <c r="A549" s="537" t="str">
        <f t="shared" si="16"/>
        <v>BLANK...</v>
      </c>
      <c r="B549" s="537" t="s">
        <v>193</v>
      </c>
      <c r="C549" s="537" t="str">
        <f t="shared" si="17"/>
        <v>..</v>
      </c>
      <c r="D549" s="537"/>
      <c r="E549" s="537"/>
      <c r="F549" s="537"/>
      <c r="G549" s="537"/>
      <c r="H549" s="537"/>
      <c r="I549" s="537"/>
      <c r="J549" s="537"/>
      <c r="K549" s="537"/>
      <c r="L549" s="537"/>
      <c r="M549" s="537"/>
      <c r="N549" s="537"/>
      <c r="O549" s="537"/>
      <c r="P549" s="537"/>
      <c r="Q549" s="537"/>
      <c r="R549" s="537"/>
      <c r="S549" s="537"/>
      <c r="T549" s="537"/>
      <c r="U549" s="537"/>
    </row>
    <row r="550" spans="1:21" hidden="1" x14ac:dyDescent="0.2">
      <c r="A550" s="537" t="str">
        <f t="shared" si="16"/>
        <v>BLANK...</v>
      </c>
      <c r="B550" s="537" t="s">
        <v>193</v>
      </c>
      <c r="C550" s="537" t="str">
        <f t="shared" si="17"/>
        <v>..</v>
      </c>
      <c r="D550" s="537"/>
      <c r="E550" s="537"/>
      <c r="F550" s="537"/>
      <c r="G550" s="537"/>
      <c r="H550" s="537"/>
      <c r="I550" s="537"/>
      <c r="J550" s="537"/>
      <c r="K550" s="537"/>
      <c r="L550" s="537"/>
      <c r="M550" s="537"/>
      <c r="N550" s="537"/>
      <c r="O550" s="537"/>
      <c r="P550" s="537"/>
      <c r="Q550" s="537"/>
      <c r="R550" s="537"/>
      <c r="S550" s="537"/>
      <c r="T550" s="537"/>
      <c r="U550" s="537"/>
    </row>
    <row r="551" spans="1:21" hidden="1" x14ac:dyDescent="0.2">
      <c r="A551" s="537" t="str">
        <f t="shared" si="16"/>
        <v>BLANK...</v>
      </c>
      <c r="B551" s="537" t="s">
        <v>193</v>
      </c>
      <c r="C551" s="537" t="str">
        <f t="shared" si="17"/>
        <v>..</v>
      </c>
      <c r="D551" s="537"/>
      <c r="E551" s="537"/>
      <c r="F551" s="537"/>
      <c r="G551" s="537"/>
      <c r="H551" s="537"/>
      <c r="I551" s="537"/>
      <c r="J551" s="537"/>
      <c r="K551" s="537"/>
      <c r="L551" s="537"/>
      <c r="M551" s="537"/>
      <c r="N551" s="537"/>
      <c r="O551" s="537"/>
      <c r="P551" s="537"/>
      <c r="Q551" s="537"/>
      <c r="R551" s="537"/>
      <c r="S551" s="537"/>
      <c r="T551" s="537"/>
      <c r="U551" s="537"/>
    </row>
    <row r="552" spans="1:21" hidden="1" x14ac:dyDescent="0.2">
      <c r="A552" s="537" t="str">
        <f t="shared" si="16"/>
        <v>BLANK...</v>
      </c>
      <c r="B552" s="537" t="s">
        <v>193</v>
      </c>
      <c r="C552" s="537" t="str">
        <f t="shared" si="17"/>
        <v>..</v>
      </c>
      <c r="D552" s="537"/>
      <c r="E552" s="537"/>
      <c r="F552" s="537"/>
      <c r="G552" s="537"/>
      <c r="H552" s="537"/>
      <c r="I552" s="537"/>
      <c r="J552" s="537"/>
      <c r="K552" s="537"/>
      <c r="L552" s="537"/>
      <c r="M552" s="537"/>
      <c r="N552" s="537"/>
      <c r="O552" s="537"/>
      <c r="P552" s="537"/>
      <c r="Q552" s="537"/>
      <c r="R552" s="537"/>
      <c r="S552" s="537"/>
      <c r="T552" s="537"/>
      <c r="U552" s="537"/>
    </row>
    <row r="553" spans="1:21" hidden="1" x14ac:dyDescent="0.2">
      <c r="A553" s="537" t="str">
        <f t="shared" si="16"/>
        <v>BLANK...</v>
      </c>
      <c r="B553" s="537" t="s">
        <v>193</v>
      </c>
      <c r="C553" s="537" t="str">
        <f t="shared" si="17"/>
        <v>..</v>
      </c>
      <c r="D553" s="537"/>
      <c r="E553" s="537"/>
      <c r="F553" s="537"/>
      <c r="G553" s="537"/>
      <c r="H553" s="537"/>
      <c r="I553" s="537"/>
      <c r="J553" s="537"/>
      <c r="K553" s="537"/>
      <c r="L553" s="537"/>
      <c r="M553" s="537"/>
      <c r="N553" s="537"/>
      <c r="O553" s="537"/>
      <c r="P553" s="537"/>
      <c r="Q553" s="537"/>
      <c r="R553" s="537"/>
      <c r="S553" s="537"/>
      <c r="T553" s="537"/>
      <c r="U553" s="537"/>
    </row>
    <row r="554" spans="1:21" hidden="1" x14ac:dyDescent="0.2">
      <c r="A554" s="537" t="str">
        <f t="shared" si="16"/>
        <v>BLANK...</v>
      </c>
      <c r="B554" s="537" t="s">
        <v>193</v>
      </c>
      <c r="C554" s="537" t="str">
        <f t="shared" si="17"/>
        <v>..</v>
      </c>
      <c r="D554" s="537"/>
      <c r="E554" s="537"/>
      <c r="F554" s="537"/>
      <c r="G554" s="537"/>
      <c r="H554" s="537"/>
      <c r="I554" s="537"/>
      <c r="J554" s="537"/>
      <c r="K554" s="537"/>
      <c r="L554" s="537"/>
      <c r="M554" s="537"/>
      <c r="N554" s="537"/>
      <c r="O554" s="537"/>
      <c r="P554" s="537"/>
      <c r="Q554" s="537"/>
      <c r="R554" s="537"/>
      <c r="S554" s="537"/>
      <c r="T554" s="537"/>
      <c r="U554" s="537"/>
    </row>
    <row r="555" spans="1:21" hidden="1" x14ac:dyDescent="0.2">
      <c r="A555" s="537" t="str">
        <f t="shared" si="16"/>
        <v>BLANK...</v>
      </c>
      <c r="B555" s="537" t="s">
        <v>193</v>
      </c>
      <c r="C555" s="537" t="str">
        <f t="shared" si="17"/>
        <v>..</v>
      </c>
      <c r="D555" s="537"/>
      <c r="E555" s="537"/>
      <c r="F555" s="537"/>
      <c r="G555" s="537"/>
      <c r="H555" s="537"/>
      <c r="I555" s="537"/>
      <c r="J555" s="537"/>
      <c r="K555" s="537"/>
      <c r="L555" s="537"/>
      <c r="M555" s="537"/>
      <c r="N555" s="537"/>
      <c r="O555" s="537"/>
      <c r="P555" s="537"/>
      <c r="Q555" s="537"/>
      <c r="R555" s="537"/>
      <c r="S555" s="537"/>
      <c r="T555" s="537"/>
      <c r="U555" s="537"/>
    </row>
    <row r="556" spans="1:21" hidden="1" x14ac:dyDescent="0.2">
      <c r="A556" s="537" t="str">
        <f t="shared" si="16"/>
        <v>BLANK...</v>
      </c>
      <c r="B556" s="537" t="s">
        <v>193</v>
      </c>
      <c r="C556" s="537" t="str">
        <f t="shared" si="17"/>
        <v>..</v>
      </c>
      <c r="D556" s="537"/>
      <c r="E556" s="537"/>
      <c r="F556" s="537"/>
      <c r="G556" s="537"/>
      <c r="H556" s="537"/>
      <c r="I556" s="537"/>
      <c r="J556" s="537"/>
      <c r="K556" s="537"/>
      <c r="L556" s="537"/>
      <c r="M556" s="537"/>
      <c r="N556" s="537"/>
      <c r="O556" s="537"/>
      <c r="P556" s="537"/>
      <c r="Q556" s="537"/>
      <c r="R556" s="537"/>
      <c r="S556" s="537"/>
      <c r="T556" s="537"/>
      <c r="U556" s="537"/>
    </row>
    <row r="557" spans="1:21" hidden="1" x14ac:dyDescent="0.2">
      <c r="A557" s="537" t="str">
        <f t="shared" si="16"/>
        <v>BLANK...</v>
      </c>
      <c r="B557" s="537" t="s">
        <v>193</v>
      </c>
      <c r="C557" s="537" t="str">
        <f t="shared" si="17"/>
        <v>..</v>
      </c>
      <c r="D557" s="537"/>
      <c r="E557" s="537"/>
      <c r="F557" s="537"/>
      <c r="G557" s="537"/>
      <c r="H557" s="537"/>
      <c r="I557" s="537"/>
      <c r="J557" s="537"/>
      <c r="K557" s="537"/>
      <c r="L557" s="537"/>
      <c r="M557" s="537"/>
      <c r="N557" s="537"/>
      <c r="O557" s="537"/>
      <c r="P557" s="537"/>
      <c r="Q557" s="537"/>
      <c r="R557" s="537"/>
      <c r="S557" s="537"/>
      <c r="T557" s="537"/>
      <c r="U557" s="537"/>
    </row>
    <row r="558" spans="1:21" hidden="1" x14ac:dyDescent="0.2">
      <c r="A558" s="537" t="str">
        <f t="shared" si="16"/>
        <v>BLANK...</v>
      </c>
      <c r="B558" s="537" t="s">
        <v>193</v>
      </c>
      <c r="C558" s="537" t="str">
        <f t="shared" si="17"/>
        <v>..</v>
      </c>
      <c r="D558" s="537"/>
      <c r="E558" s="537"/>
      <c r="F558" s="537"/>
      <c r="G558" s="537"/>
      <c r="H558" s="537"/>
      <c r="I558" s="537"/>
      <c r="J558" s="537"/>
      <c r="K558" s="537"/>
      <c r="L558" s="537"/>
      <c r="M558" s="537"/>
      <c r="N558" s="537"/>
      <c r="O558" s="537"/>
      <c r="P558" s="537"/>
      <c r="Q558" s="537"/>
      <c r="R558" s="537"/>
      <c r="S558" s="537"/>
      <c r="T558" s="537"/>
      <c r="U558" s="537"/>
    </row>
    <row r="559" spans="1:21" hidden="1" x14ac:dyDescent="0.2">
      <c r="A559" s="537" t="str">
        <f t="shared" si="16"/>
        <v>BLANK...</v>
      </c>
      <c r="B559" s="537" t="s">
        <v>193</v>
      </c>
      <c r="C559" s="537" t="str">
        <f t="shared" si="17"/>
        <v>..</v>
      </c>
      <c r="D559" s="537"/>
      <c r="E559" s="537"/>
      <c r="F559" s="537"/>
      <c r="G559" s="537"/>
      <c r="H559" s="537"/>
      <c r="I559" s="537"/>
      <c r="J559" s="537"/>
      <c r="K559" s="537"/>
      <c r="L559" s="537"/>
      <c r="M559" s="537"/>
      <c r="N559" s="537"/>
      <c r="O559" s="537"/>
      <c r="P559" s="537"/>
      <c r="Q559" s="537"/>
      <c r="R559" s="537"/>
      <c r="S559" s="537"/>
      <c r="T559" s="537"/>
      <c r="U559" s="537"/>
    </row>
    <row r="560" spans="1:21" hidden="1" x14ac:dyDescent="0.2">
      <c r="A560" s="537" t="str">
        <f t="shared" si="16"/>
        <v>BLANK...</v>
      </c>
      <c r="B560" s="537" t="s">
        <v>193</v>
      </c>
      <c r="C560" s="537" t="str">
        <f t="shared" si="17"/>
        <v>..</v>
      </c>
      <c r="D560" s="537"/>
      <c r="E560" s="537"/>
      <c r="F560" s="537"/>
      <c r="G560" s="537"/>
      <c r="H560" s="537"/>
      <c r="I560" s="537"/>
      <c r="J560" s="537"/>
      <c r="K560" s="537"/>
      <c r="L560" s="537"/>
      <c r="M560" s="537"/>
      <c r="N560" s="537"/>
      <c r="O560" s="537"/>
      <c r="P560" s="537"/>
      <c r="Q560" s="537"/>
      <c r="R560" s="537"/>
      <c r="S560" s="537"/>
      <c r="T560" s="537"/>
      <c r="U560" s="537"/>
    </row>
    <row r="561" spans="1:21" hidden="1" x14ac:dyDescent="0.2">
      <c r="A561" s="537" t="str">
        <f t="shared" si="16"/>
        <v>BLANK...</v>
      </c>
      <c r="B561" s="537" t="s">
        <v>193</v>
      </c>
      <c r="C561" s="537" t="str">
        <f t="shared" si="17"/>
        <v>..</v>
      </c>
      <c r="D561" s="537"/>
      <c r="E561" s="537"/>
      <c r="F561" s="537"/>
      <c r="G561" s="537"/>
      <c r="H561" s="537"/>
      <c r="I561" s="537"/>
      <c r="J561" s="537"/>
      <c r="K561" s="537"/>
      <c r="L561" s="537"/>
      <c r="M561" s="537"/>
      <c r="N561" s="537"/>
      <c r="O561" s="537"/>
      <c r="P561" s="537"/>
      <c r="Q561" s="537"/>
      <c r="R561" s="537"/>
      <c r="S561" s="537"/>
      <c r="T561" s="537"/>
      <c r="U561" s="537"/>
    </row>
    <row r="562" spans="1:21" hidden="1" x14ac:dyDescent="0.2">
      <c r="A562" s="537" t="str">
        <f t="shared" si="16"/>
        <v>BLANK...</v>
      </c>
      <c r="B562" s="537" t="s">
        <v>193</v>
      </c>
      <c r="C562" s="537" t="str">
        <f t="shared" si="17"/>
        <v>..</v>
      </c>
      <c r="D562" s="537"/>
      <c r="E562" s="537"/>
      <c r="F562" s="537"/>
      <c r="G562" s="537"/>
      <c r="H562" s="537"/>
      <c r="I562" s="537"/>
      <c r="J562" s="537"/>
      <c r="K562" s="537"/>
      <c r="L562" s="537"/>
      <c r="M562" s="537"/>
      <c r="N562" s="537"/>
      <c r="O562" s="537"/>
      <c r="P562" s="537"/>
      <c r="Q562" s="537"/>
      <c r="R562" s="537"/>
      <c r="S562" s="537"/>
      <c r="T562" s="537"/>
      <c r="U562" s="537"/>
    </row>
    <row r="563" spans="1:21" hidden="1" x14ac:dyDescent="0.2">
      <c r="A563" s="537" t="str">
        <f t="shared" si="16"/>
        <v>BLANK...</v>
      </c>
      <c r="B563" s="537" t="s">
        <v>193</v>
      </c>
      <c r="C563" s="537" t="str">
        <f t="shared" si="17"/>
        <v>..</v>
      </c>
      <c r="D563" s="537"/>
      <c r="E563" s="537"/>
      <c r="F563" s="537"/>
      <c r="G563" s="537"/>
      <c r="H563" s="537"/>
      <c r="I563" s="537"/>
      <c r="J563" s="537"/>
      <c r="K563" s="537"/>
      <c r="L563" s="537"/>
      <c r="M563" s="537"/>
      <c r="N563" s="537"/>
      <c r="O563" s="537"/>
      <c r="P563" s="537"/>
      <c r="Q563" s="537"/>
      <c r="R563" s="537"/>
      <c r="S563" s="537"/>
      <c r="T563" s="537"/>
      <c r="U563" s="537"/>
    </row>
    <row r="564" spans="1:21" hidden="1" x14ac:dyDescent="0.2">
      <c r="A564" s="537" t="str">
        <f t="shared" si="16"/>
        <v>BLANK...</v>
      </c>
      <c r="B564" s="537" t="s">
        <v>193</v>
      </c>
      <c r="C564" s="537" t="str">
        <f t="shared" si="17"/>
        <v>..</v>
      </c>
      <c r="D564" s="537"/>
      <c r="E564" s="537"/>
      <c r="F564" s="537"/>
      <c r="G564" s="537"/>
      <c r="H564" s="537"/>
      <c r="I564" s="537"/>
      <c r="J564" s="537"/>
      <c r="K564" s="537"/>
      <c r="L564" s="537"/>
      <c r="M564" s="537"/>
      <c r="N564" s="537"/>
      <c r="O564" s="537"/>
      <c r="P564" s="537"/>
      <c r="Q564" s="537"/>
      <c r="R564" s="537"/>
      <c r="S564" s="537"/>
      <c r="T564" s="537"/>
      <c r="U564" s="537"/>
    </row>
    <row r="565" spans="1:21" hidden="1" x14ac:dyDescent="0.2">
      <c r="A565" s="537" t="str">
        <f t="shared" si="16"/>
        <v>BLANK...</v>
      </c>
      <c r="B565" s="537" t="s">
        <v>193</v>
      </c>
      <c r="C565" s="537" t="str">
        <f t="shared" si="17"/>
        <v>..</v>
      </c>
      <c r="D565" s="537"/>
      <c r="E565" s="537"/>
      <c r="F565" s="537"/>
      <c r="G565" s="537"/>
      <c r="H565" s="537"/>
      <c r="I565" s="537"/>
      <c r="J565" s="537"/>
      <c r="K565" s="537"/>
      <c r="L565" s="537"/>
      <c r="M565" s="537"/>
      <c r="N565" s="537"/>
      <c r="O565" s="537"/>
      <c r="P565" s="537"/>
      <c r="Q565" s="537"/>
      <c r="R565" s="537"/>
      <c r="S565" s="537"/>
      <c r="T565" s="537"/>
      <c r="U565" s="537"/>
    </row>
    <row r="566" spans="1:21" hidden="1" x14ac:dyDescent="0.2">
      <c r="A566" s="537" t="str">
        <f t="shared" si="16"/>
        <v>BLANK...</v>
      </c>
      <c r="B566" s="537" t="s">
        <v>193</v>
      </c>
      <c r="C566" s="537" t="str">
        <f t="shared" si="17"/>
        <v>..</v>
      </c>
      <c r="D566" s="537"/>
      <c r="E566" s="537"/>
      <c r="F566" s="537"/>
      <c r="G566" s="537"/>
      <c r="H566" s="537"/>
      <c r="I566" s="537"/>
      <c r="J566" s="537"/>
      <c r="K566" s="537"/>
      <c r="L566" s="537"/>
      <c r="M566" s="537"/>
      <c r="N566" s="537"/>
      <c r="O566" s="537"/>
      <c r="P566" s="537"/>
      <c r="Q566" s="537"/>
      <c r="R566" s="537"/>
      <c r="S566" s="537"/>
      <c r="T566" s="537"/>
      <c r="U566" s="537"/>
    </row>
    <row r="567" spans="1:21" hidden="1" x14ac:dyDescent="0.2">
      <c r="A567" s="537" t="str">
        <f t="shared" si="16"/>
        <v>BLANK...</v>
      </c>
      <c r="B567" s="537" t="s">
        <v>193</v>
      </c>
      <c r="C567" s="537" t="str">
        <f t="shared" si="17"/>
        <v>..</v>
      </c>
      <c r="D567" s="537"/>
      <c r="E567" s="537"/>
      <c r="F567" s="537"/>
      <c r="G567" s="537"/>
      <c r="H567" s="537"/>
      <c r="I567" s="537"/>
      <c r="J567" s="537"/>
      <c r="K567" s="537"/>
      <c r="L567" s="537"/>
      <c r="M567" s="537"/>
      <c r="N567" s="537"/>
      <c r="O567" s="537"/>
      <c r="P567" s="537"/>
      <c r="Q567" s="537"/>
      <c r="R567" s="537"/>
      <c r="S567" s="537"/>
      <c r="T567" s="537"/>
      <c r="U567" s="537"/>
    </row>
    <row r="568" spans="1:21" hidden="1" x14ac:dyDescent="0.2">
      <c r="A568" s="537" t="str">
        <f t="shared" si="16"/>
        <v>BLANK...</v>
      </c>
      <c r="B568" s="537" t="s">
        <v>193</v>
      </c>
      <c r="C568" s="537" t="str">
        <f t="shared" si="17"/>
        <v>..</v>
      </c>
      <c r="D568" s="537"/>
      <c r="E568" s="537"/>
      <c r="F568" s="537"/>
      <c r="G568" s="537"/>
      <c r="H568" s="537"/>
      <c r="I568" s="537"/>
      <c r="J568" s="537"/>
      <c r="K568" s="537"/>
      <c r="L568" s="537"/>
      <c r="M568" s="537"/>
      <c r="N568" s="537"/>
      <c r="O568" s="537"/>
      <c r="P568" s="537"/>
      <c r="Q568" s="537"/>
      <c r="R568" s="537"/>
      <c r="S568" s="537"/>
      <c r="T568" s="537"/>
      <c r="U568" s="537"/>
    </row>
    <row r="569" spans="1:21" hidden="1" x14ac:dyDescent="0.2">
      <c r="A569" s="537" t="str">
        <f t="shared" si="16"/>
        <v>BLANK...</v>
      </c>
      <c r="B569" s="537" t="s">
        <v>193</v>
      </c>
      <c r="C569" s="537" t="str">
        <f t="shared" si="17"/>
        <v>..</v>
      </c>
      <c r="D569" s="537"/>
      <c r="E569" s="537"/>
      <c r="F569" s="537"/>
      <c r="G569" s="537"/>
      <c r="H569" s="537"/>
      <c r="I569" s="537"/>
      <c r="J569" s="537"/>
      <c r="K569" s="537"/>
      <c r="L569" s="537"/>
      <c r="M569" s="537"/>
      <c r="N569" s="537"/>
      <c r="O569" s="537"/>
      <c r="P569" s="537"/>
      <c r="Q569" s="537"/>
      <c r="R569" s="537"/>
      <c r="S569" s="537"/>
      <c r="T569" s="537"/>
      <c r="U569" s="537"/>
    </row>
    <row r="570" spans="1:21" hidden="1" x14ac:dyDescent="0.2">
      <c r="A570" s="537" t="str">
        <f t="shared" si="16"/>
        <v>BLANK...</v>
      </c>
      <c r="B570" s="537" t="s">
        <v>193</v>
      </c>
      <c r="C570" s="537" t="str">
        <f t="shared" si="17"/>
        <v>..</v>
      </c>
      <c r="D570" s="537"/>
      <c r="E570" s="537"/>
      <c r="F570" s="537"/>
      <c r="G570" s="537"/>
      <c r="H570" s="537"/>
      <c r="I570" s="537"/>
      <c r="J570" s="537"/>
      <c r="K570" s="537"/>
      <c r="L570" s="537"/>
      <c r="M570" s="537"/>
      <c r="N570" s="537"/>
      <c r="O570" s="537"/>
      <c r="P570" s="537"/>
      <c r="Q570" s="537"/>
      <c r="R570" s="537"/>
      <c r="S570" s="537"/>
      <c r="T570" s="537"/>
      <c r="U570" s="537"/>
    </row>
    <row r="571" spans="1:21" hidden="1" x14ac:dyDescent="0.2">
      <c r="A571" s="537" t="str">
        <f t="shared" si="16"/>
        <v>BLANK...</v>
      </c>
      <c r="B571" s="537" t="s">
        <v>193</v>
      </c>
      <c r="C571" s="537" t="str">
        <f t="shared" si="17"/>
        <v>..</v>
      </c>
      <c r="D571" s="537"/>
      <c r="E571" s="537"/>
      <c r="F571" s="537"/>
      <c r="G571" s="537"/>
      <c r="H571" s="537"/>
      <c r="I571" s="537"/>
      <c r="J571" s="537"/>
      <c r="K571" s="537"/>
      <c r="L571" s="537"/>
      <c r="M571" s="537"/>
      <c r="N571" s="537"/>
      <c r="O571" s="537"/>
      <c r="P571" s="537"/>
      <c r="Q571" s="537"/>
      <c r="R571" s="537"/>
      <c r="S571" s="537"/>
      <c r="T571" s="537"/>
      <c r="U571" s="537"/>
    </row>
    <row r="572" spans="1:21" hidden="1" x14ac:dyDescent="0.2">
      <c r="A572" s="537" t="str">
        <f t="shared" si="16"/>
        <v>BLANK...</v>
      </c>
      <c r="B572" s="537" t="s">
        <v>193</v>
      </c>
      <c r="C572" s="537" t="str">
        <f t="shared" si="17"/>
        <v>..</v>
      </c>
      <c r="D572" s="537"/>
      <c r="E572" s="537"/>
      <c r="F572" s="537"/>
      <c r="G572" s="537"/>
      <c r="H572" s="537"/>
      <c r="I572" s="537"/>
      <c r="J572" s="537"/>
      <c r="K572" s="537"/>
      <c r="L572" s="537"/>
      <c r="M572" s="537"/>
      <c r="N572" s="537"/>
      <c r="O572" s="537"/>
      <c r="P572" s="537"/>
      <c r="Q572" s="537"/>
      <c r="R572" s="537"/>
      <c r="S572" s="537"/>
      <c r="T572" s="537"/>
      <c r="U572" s="537"/>
    </row>
    <row r="573" spans="1:21" hidden="1" x14ac:dyDescent="0.2">
      <c r="A573" s="537" t="str">
        <f t="shared" si="16"/>
        <v>BLANK...</v>
      </c>
      <c r="B573" s="537" t="s">
        <v>193</v>
      </c>
      <c r="C573" s="537" t="str">
        <f t="shared" si="17"/>
        <v>..</v>
      </c>
      <c r="D573" s="537"/>
      <c r="E573" s="537"/>
      <c r="F573" s="537"/>
      <c r="G573" s="537"/>
      <c r="H573" s="537"/>
      <c r="I573" s="537"/>
      <c r="J573" s="537"/>
      <c r="K573" s="537"/>
      <c r="L573" s="537"/>
      <c r="M573" s="537"/>
      <c r="N573" s="537"/>
      <c r="O573" s="537"/>
      <c r="P573" s="537"/>
      <c r="Q573" s="537"/>
      <c r="R573" s="537"/>
      <c r="S573" s="537"/>
      <c r="T573" s="537"/>
      <c r="U573" s="537"/>
    </row>
    <row r="574" spans="1:21" hidden="1" x14ac:dyDescent="0.2">
      <c r="A574" s="537" t="str">
        <f t="shared" si="16"/>
        <v>BLANK...</v>
      </c>
      <c r="B574" s="537" t="s">
        <v>193</v>
      </c>
      <c r="C574" s="537" t="str">
        <f t="shared" si="17"/>
        <v>..</v>
      </c>
      <c r="D574" s="537"/>
      <c r="E574" s="537"/>
      <c r="F574" s="537"/>
      <c r="G574" s="537"/>
      <c r="H574" s="537"/>
      <c r="I574" s="537"/>
      <c r="J574" s="537"/>
      <c r="K574" s="537"/>
      <c r="L574" s="537"/>
      <c r="M574" s="537"/>
      <c r="N574" s="537"/>
      <c r="O574" s="537"/>
      <c r="P574" s="537"/>
      <c r="Q574" s="537"/>
      <c r="R574" s="537"/>
      <c r="S574" s="537"/>
      <c r="T574" s="537"/>
      <c r="U574" s="537"/>
    </row>
    <row r="575" spans="1:21" hidden="1" x14ac:dyDescent="0.2">
      <c r="A575" s="537" t="str">
        <f t="shared" si="16"/>
        <v>BLANK...</v>
      </c>
      <c r="B575" s="537" t="s">
        <v>193</v>
      </c>
      <c r="C575" s="537" t="str">
        <f t="shared" si="17"/>
        <v>..</v>
      </c>
      <c r="D575" s="537"/>
      <c r="E575" s="537"/>
      <c r="F575" s="537"/>
      <c r="G575" s="537"/>
      <c r="H575" s="537"/>
      <c r="I575" s="537"/>
      <c r="J575" s="537"/>
      <c r="K575" s="537"/>
      <c r="L575" s="537"/>
      <c r="M575" s="537"/>
      <c r="N575" s="537"/>
      <c r="O575" s="537"/>
      <c r="P575" s="537"/>
      <c r="Q575" s="537"/>
      <c r="R575" s="537"/>
      <c r="S575" s="537"/>
      <c r="T575" s="537"/>
      <c r="U575" s="537"/>
    </row>
    <row r="576" spans="1:21" hidden="1" x14ac:dyDescent="0.2">
      <c r="A576" s="537" t="str">
        <f t="shared" si="16"/>
        <v>BLANK...</v>
      </c>
      <c r="B576" s="537" t="s">
        <v>193</v>
      </c>
      <c r="C576" s="537" t="str">
        <f t="shared" si="17"/>
        <v>..</v>
      </c>
      <c r="D576" s="537"/>
      <c r="E576" s="537"/>
      <c r="F576" s="537"/>
      <c r="G576" s="537"/>
      <c r="H576" s="537"/>
      <c r="I576" s="537"/>
      <c r="J576" s="537"/>
      <c r="K576" s="537"/>
      <c r="L576" s="537"/>
      <c r="M576" s="537"/>
      <c r="N576" s="537"/>
      <c r="O576" s="537"/>
      <c r="P576" s="537"/>
      <c r="Q576" s="537"/>
      <c r="R576" s="537"/>
      <c r="S576" s="537"/>
      <c r="T576" s="537"/>
      <c r="U576" s="537"/>
    </row>
    <row r="577" spans="1:21" hidden="1" x14ac:dyDescent="0.2">
      <c r="A577" s="537" t="str">
        <f t="shared" si="16"/>
        <v>BLANK...</v>
      </c>
      <c r="B577" s="537" t="s">
        <v>193</v>
      </c>
      <c r="C577" s="537" t="str">
        <f t="shared" si="17"/>
        <v>..</v>
      </c>
      <c r="D577" s="537"/>
      <c r="E577" s="537"/>
      <c r="F577" s="537"/>
      <c r="G577" s="537"/>
      <c r="H577" s="537"/>
      <c r="I577" s="537"/>
      <c r="J577" s="537"/>
      <c r="K577" s="537"/>
      <c r="L577" s="537"/>
      <c r="M577" s="537"/>
      <c r="N577" s="537"/>
      <c r="O577" s="537"/>
      <c r="P577" s="537"/>
      <c r="Q577" s="537"/>
      <c r="R577" s="537"/>
      <c r="S577" s="537"/>
      <c r="T577" s="537"/>
      <c r="U577" s="537"/>
    </row>
    <row r="578" spans="1:21" hidden="1" x14ac:dyDescent="0.2">
      <c r="A578" s="537" t="str">
        <f t="shared" si="16"/>
        <v>BLANK...</v>
      </c>
      <c r="B578" s="537" t="s">
        <v>193</v>
      </c>
      <c r="C578" s="537" t="str">
        <f t="shared" si="17"/>
        <v>..</v>
      </c>
      <c r="D578" s="537"/>
      <c r="E578" s="537"/>
      <c r="F578" s="537"/>
      <c r="G578" s="537"/>
      <c r="H578" s="537"/>
      <c r="I578" s="537"/>
      <c r="J578" s="537"/>
      <c r="K578" s="537"/>
      <c r="L578" s="537"/>
      <c r="M578" s="537"/>
      <c r="N578" s="537"/>
      <c r="O578" s="537"/>
      <c r="P578" s="537"/>
      <c r="Q578" s="537"/>
      <c r="R578" s="537"/>
      <c r="S578" s="537"/>
      <c r="T578" s="537"/>
      <c r="U578" s="537"/>
    </row>
    <row r="579" spans="1:21" hidden="1" x14ac:dyDescent="0.2">
      <c r="A579" s="537" t="str">
        <f t="shared" si="16"/>
        <v>BLANK...</v>
      </c>
      <c r="B579" s="537" t="s">
        <v>193</v>
      </c>
      <c r="C579" s="537" t="str">
        <f t="shared" si="17"/>
        <v>..</v>
      </c>
      <c r="D579" s="537"/>
      <c r="E579" s="537"/>
      <c r="F579" s="537"/>
      <c r="G579" s="537"/>
      <c r="H579" s="537"/>
      <c r="I579" s="537"/>
      <c r="J579" s="537"/>
      <c r="K579" s="537"/>
      <c r="L579" s="537"/>
      <c r="M579" s="537"/>
      <c r="N579" s="537"/>
      <c r="O579" s="537"/>
      <c r="P579" s="537"/>
      <c r="Q579" s="537"/>
      <c r="R579" s="537"/>
      <c r="S579" s="537"/>
      <c r="T579" s="537"/>
      <c r="U579" s="537"/>
    </row>
    <row r="580" spans="1:21" hidden="1" x14ac:dyDescent="0.2">
      <c r="A580" s="537" t="str">
        <f t="shared" si="16"/>
        <v>BLANK...</v>
      </c>
      <c r="B580" s="537" t="s">
        <v>193</v>
      </c>
      <c r="C580" s="537" t="str">
        <f t="shared" si="17"/>
        <v>..</v>
      </c>
      <c r="D580" s="537"/>
      <c r="E580" s="537"/>
      <c r="F580" s="537"/>
      <c r="G580" s="537"/>
      <c r="H580" s="537"/>
      <c r="I580" s="537"/>
      <c r="J580" s="537"/>
      <c r="K580" s="537"/>
      <c r="L580" s="537"/>
      <c r="M580" s="537"/>
      <c r="N580" s="537"/>
      <c r="O580" s="537"/>
      <c r="P580" s="537"/>
      <c r="Q580" s="537"/>
      <c r="R580" s="537"/>
      <c r="S580" s="537"/>
      <c r="T580" s="537"/>
      <c r="U580" s="537"/>
    </row>
    <row r="581" spans="1:21" hidden="1" x14ac:dyDescent="0.2">
      <c r="A581" s="537" t="str">
        <f t="shared" si="16"/>
        <v>BLANK...</v>
      </c>
      <c r="B581" s="537" t="s">
        <v>193</v>
      </c>
      <c r="C581" s="537" t="str">
        <f t="shared" si="17"/>
        <v>..</v>
      </c>
      <c r="D581" s="537"/>
      <c r="E581" s="537"/>
      <c r="F581" s="537"/>
      <c r="G581" s="537"/>
      <c r="H581" s="537"/>
      <c r="I581" s="537"/>
      <c r="J581" s="537"/>
      <c r="K581" s="537"/>
      <c r="L581" s="537"/>
      <c r="M581" s="537"/>
      <c r="N581" s="537"/>
      <c r="O581" s="537"/>
      <c r="P581" s="537"/>
      <c r="Q581" s="537"/>
      <c r="R581" s="537"/>
      <c r="S581" s="537"/>
      <c r="T581" s="537"/>
      <c r="U581" s="537"/>
    </row>
    <row r="582" spans="1:21" hidden="1" x14ac:dyDescent="0.2">
      <c r="A582" s="537" t="str">
        <f t="shared" si="16"/>
        <v>BLANK...</v>
      </c>
      <c r="B582" s="537" t="s">
        <v>193</v>
      </c>
      <c r="C582" s="537" t="str">
        <f t="shared" si="17"/>
        <v>..</v>
      </c>
      <c r="D582" s="537"/>
      <c r="E582" s="537"/>
      <c r="F582" s="537"/>
      <c r="G582" s="537"/>
      <c r="H582" s="537"/>
      <c r="I582" s="537"/>
      <c r="J582" s="537"/>
      <c r="K582" s="537"/>
      <c r="L582" s="537"/>
      <c r="M582" s="537"/>
      <c r="N582" s="537"/>
      <c r="O582" s="537"/>
      <c r="P582" s="537"/>
      <c r="Q582" s="537"/>
      <c r="R582" s="537"/>
      <c r="S582" s="537"/>
      <c r="T582" s="537"/>
      <c r="U582" s="537"/>
    </row>
    <row r="583" spans="1:21" hidden="1" x14ac:dyDescent="0.2">
      <c r="A583" s="537" t="str">
        <f t="shared" si="16"/>
        <v>BLANK...</v>
      </c>
      <c r="B583" s="537" t="s">
        <v>193</v>
      </c>
      <c r="C583" s="537" t="str">
        <f t="shared" si="17"/>
        <v>..</v>
      </c>
      <c r="D583" s="537"/>
      <c r="E583" s="537"/>
      <c r="F583" s="537"/>
      <c r="G583" s="537"/>
      <c r="H583" s="537"/>
      <c r="I583" s="537"/>
      <c r="J583" s="537"/>
      <c r="K583" s="537"/>
      <c r="L583" s="537"/>
      <c r="M583" s="537"/>
      <c r="N583" s="537"/>
      <c r="O583" s="537"/>
      <c r="P583" s="537"/>
      <c r="Q583" s="537"/>
      <c r="R583" s="537"/>
      <c r="S583" s="537"/>
      <c r="T583" s="537"/>
      <c r="U583" s="537"/>
    </row>
    <row r="584" spans="1:21" hidden="1" x14ac:dyDescent="0.2">
      <c r="A584" s="537" t="str">
        <f t="shared" si="16"/>
        <v>BLANK...</v>
      </c>
      <c r="B584" s="537" t="s">
        <v>193</v>
      </c>
      <c r="C584" s="537" t="str">
        <f t="shared" si="17"/>
        <v>..</v>
      </c>
      <c r="D584" s="537"/>
      <c r="E584" s="537"/>
      <c r="F584" s="537"/>
      <c r="G584" s="537"/>
      <c r="H584" s="537"/>
      <c r="I584" s="537"/>
      <c r="J584" s="537"/>
      <c r="K584" s="537"/>
      <c r="L584" s="537"/>
      <c r="M584" s="537"/>
      <c r="N584" s="537"/>
      <c r="O584" s="537"/>
      <c r="P584" s="537"/>
      <c r="Q584" s="537"/>
      <c r="R584" s="537"/>
      <c r="S584" s="537"/>
      <c r="T584" s="537"/>
      <c r="U584" s="537"/>
    </row>
    <row r="585" spans="1:21" hidden="1" x14ac:dyDescent="0.2">
      <c r="A585" s="537" t="str">
        <f t="shared" ref="A585:A894" si="18">B585&amp;"."&amp;D585&amp;"."&amp;E585&amp;"."&amp;F585</f>
        <v>BLANK...</v>
      </c>
      <c r="B585" s="537" t="s">
        <v>193</v>
      </c>
      <c r="C585" s="537" t="str">
        <f t="shared" ref="C585:C894" si="19">D585&amp;"."&amp;E585&amp;"."&amp;F585</f>
        <v>..</v>
      </c>
      <c r="D585" s="537"/>
      <c r="E585" s="537"/>
      <c r="F585" s="537"/>
      <c r="G585" s="537"/>
      <c r="H585" s="537"/>
      <c r="I585" s="537"/>
      <c r="J585" s="537"/>
      <c r="K585" s="537"/>
      <c r="L585" s="537"/>
      <c r="M585" s="537"/>
      <c r="N585" s="537"/>
      <c r="O585" s="537"/>
      <c r="P585" s="537"/>
      <c r="Q585" s="537"/>
      <c r="R585" s="537"/>
      <c r="S585" s="537"/>
      <c r="T585" s="537"/>
      <c r="U585" s="537"/>
    </row>
    <row r="586" spans="1:21" hidden="1" x14ac:dyDescent="0.2">
      <c r="A586" s="537" t="str">
        <f t="shared" si="18"/>
        <v>BLANK...</v>
      </c>
      <c r="B586" s="537" t="s">
        <v>193</v>
      </c>
      <c r="C586" s="537" t="str">
        <f t="shared" si="19"/>
        <v>..</v>
      </c>
      <c r="D586" s="537"/>
      <c r="E586" s="537"/>
      <c r="F586" s="537"/>
      <c r="G586" s="537"/>
      <c r="H586" s="537"/>
      <c r="I586" s="537"/>
      <c r="J586" s="537"/>
      <c r="K586" s="537"/>
      <c r="L586" s="537"/>
      <c r="M586" s="537"/>
      <c r="N586" s="537"/>
      <c r="O586" s="537"/>
      <c r="P586" s="537"/>
      <c r="Q586" s="537"/>
      <c r="R586" s="537"/>
      <c r="S586" s="537"/>
      <c r="T586" s="537"/>
      <c r="U586" s="537"/>
    </row>
    <row r="587" spans="1:21" hidden="1" x14ac:dyDescent="0.2">
      <c r="A587" s="537" t="str">
        <f t="shared" si="18"/>
        <v>BLANK...</v>
      </c>
      <c r="B587" s="537" t="s">
        <v>193</v>
      </c>
      <c r="C587" s="537" t="str">
        <f t="shared" si="19"/>
        <v>..</v>
      </c>
      <c r="D587" s="537"/>
      <c r="E587" s="537"/>
      <c r="F587" s="537"/>
      <c r="G587" s="537"/>
      <c r="H587" s="537"/>
      <c r="I587" s="537"/>
      <c r="J587" s="537"/>
      <c r="K587" s="537"/>
      <c r="L587" s="537"/>
      <c r="M587" s="537"/>
      <c r="N587" s="537"/>
      <c r="O587" s="537"/>
      <c r="P587" s="537"/>
      <c r="Q587" s="537"/>
      <c r="R587" s="537"/>
      <c r="S587" s="537"/>
      <c r="T587" s="537"/>
      <c r="U587" s="537"/>
    </row>
    <row r="588" spans="1:21" hidden="1" x14ac:dyDescent="0.2">
      <c r="A588" s="537" t="str">
        <f t="shared" si="18"/>
        <v>BLANK...</v>
      </c>
      <c r="B588" s="537" t="s">
        <v>193</v>
      </c>
      <c r="C588" s="537" t="str">
        <f t="shared" si="19"/>
        <v>..</v>
      </c>
      <c r="D588" s="537"/>
      <c r="E588" s="537"/>
      <c r="F588" s="537"/>
      <c r="G588" s="537"/>
      <c r="H588" s="537"/>
      <c r="I588" s="537"/>
      <c r="J588" s="537"/>
      <c r="K588" s="537"/>
      <c r="L588" s="537"/>
      <c r="M588" s="537"/>
      <c r="N588" s="537"/>
      <c r="O588" s="537"/>
      <c r="P588" s="537"/>
      <c r="Q588" s="537"/>
      <c r="R588" s="537"/>
      <c r="S588" s="537"/>
      <c r="T588" s="537"/>
      <c r="U588" s="537"/>
    </row>
    <row r="589" spans="1:21" hidden="1" x14ac:dyDescent="0.2">
      <c r="A589" s="537" t="str">
        <f t="shared" si="18"/>
        <v>BLANK...</v>
      </c>
      <c r="B589" s="537" t="s">
        <v>193</v>
      </c>
      <c r="C589" s="537" t="str">
        <f t="shared" si="19"/>
        <v>..</v>
      </c>
      <c r="D589" s="537"/>
      <c r="E589" s="537"/>
      <c r="F589" s="537"/>
      <c r="G589" s="537"/>
      <c r="H589" s="537"/>
      <c r="I589" s="537"/>
      <c r="J589" s="537"/>
      <c r="K589" s="537"/>
      <c r="L589" s="537"/>
      <c r="M589" s="537"/>
      <c r="N589" s="537"/>
      <c r="O589" s="537"/>
      <c r="P589" s="537"/>
      <c r="Q589" s="537"/>
      <c r="R589" s="537"/>
      <c r="S589" s="537"/>
      <c r="T589" s="537"/>
      <c r="U589" s="537"/>
    </row>
    <row r="590" spans="1:21" hidden="1" x14ac:dyDescent="0.2">
      <c r="A590" s="537" t="str">
        <f t="shared" si="18"/>
        <v>BLANK...</v>
      </c>
      <c r="B590" s="537" t="s">
        <v>193</v>
      </c>
      <c r="C590" s="537" t="str">
        <f t="shared" si="19"/>
        <v>..</v>
      </c>
      <c r="D590" s="537"/>
      <c r="E590" s="537"/>
      <c r="F590" s="537"/>
      <c r="G590" s="537"/>
      <c r="H590" s="537"/>
      <c r="I590" s="537"/>
      <c r="J590" s="537"/>
      <c r="K590" s="537"/>
      <c r="L590" s="537"/>
      <c r="M590" s="537"/>
      <c r="N590" s="537"/>
      <c r="O590" s="537"/>
      <c r="P590" s="537"/>
      <c r="Q590" s="537"/>
      <c r="R590" s="537"/>
      <c r="S590" s="537"/>
      <c r="T590" s="537"/>
      <c r="U590" s="537"/>
    </row>
    <row r="591" spans="1:21" hidden="1" x14ac:dyDescent="0.2">
      <c r="A591" s="537" t="str">
        <f t="shared" si="18"/>
        <v>BLANK...</v>
      </c>
      <c r="B591" s="537" t="s">
        <v>193</v>
      </c>
      <c r="C591" s="537" t="str">
        <f t="shared" si="19"/>
        <v>..</v>
      </c>
      <c r="D591" s="537"/>
      <c r="E591" s="537"/>
      <c r="F591" s="537"/>
      <c r="G591" s="537"/>
      <c r="H591" s="537"/>
      <c r="I591" s="537"/>
      <c r="J591" s="537"/>
      <c r="K591" s="537"/>
      <c r="L591" s="537"/>
      <c r="M591" s="537"/>
      <c r="N591" s="537"/>
      <c r="O591" s="537"/>
      <c r="P591" s="537"/>
      <c r="Q591" s="537"/>
      <c r="R591" s="537"/>
      <c r="S591" s="537"/>
      <c r="T591" s="537"/>
      <c r="U591" s="537"/>
    </row>
    <row r="592" spans="1:21" hidden="1" x14ac:dyDescent="0.2">
      <c r="A592" s="537" t="str">
        <f t="shared" si="18"/>
        <v>BLANK...</v>
      </c>
      <c r="B592" s="537" t="s">
        <v>193</v>
      </c>
      <c r="C592" s="537" t="str">
        <f t="shared" si="19"/>
        <v>..</v>
      </c>
      <c r="D592" s="537"/>
      <c r="E592" s="537"/>
      <c r="F592" s="537"/>
      <c r="G592" s="537"/>
      <c r="H592" s="537"/>
      <c r="I592" s="537"/>
      <c r="J592" s="537"/>
      <c r="K592" s="537"/>
      <c r="L592" s="537"/>
      <c r="M592" s="537"/>
      <c r="N592" s="537"/>
      <c r="O592" s="537"/>
      <c r="P592" s="537"/>
      <c r="Q592" s="537"/>
      <c r="R592" s="537"/>
      <c r="S592" s="537"/>
      <c r="T592" s="537"/>
      <c r="U592" s="537"/>
    </row>
    <row r="593" spans="1:21" hidden="1" x14ac:dyDescent="0.2">
      <c r="A593" s="537" t="str">
        <f t="shared" si="18"/>
        <v>BLANK...</v>
      </c>
      <c r="B593" s="537" t="s">
        <v>193</v>
      </c>
      <c r="C593" s="537" t="str">
        <f t="shared" si="19"/>
        <v>..</v>
      </c>
      <c r="D593" s="537"/>
      <c r="E593" s="537"/>
      <c r="F593" s="537"/>
      <c r="G593" s="537"/>
      <c r="H593" s="537"/>
      <c r="I593" s="537"/>
      <c r="J593" s="537"/>
      <c r="K593" s="537"/>
      <c r="L593" s="537"/>
      <c r="M593" s="537"/>
      <c r="N593" s="537"/>
      <c r="O593" s="537"/>
      <c r="P593" s="537"/>
      <c r="Q593" s="537"/>
      <c r="R593" s="537"/>
      <c r="S593" s="537"/>
      <c r="T593" s="537"/>
      <c r="U593" s="537"/>
    </row>
    <row r="594" spans="1:21" hidden="1" x14ac:dyDescent="0.2">
      <c r="A594" s="537" t="str">
        <f t="shared" si="18"/>
        <v>BLANK...</v>
      </c>
      <c r="B594" s="537" t="s">
        <v>193</v>
      </c>
      <c r="C594" s="537" t="str">
        <f t="shared" si="19"/>
        <v>..</v>
      </c>
      <c r="D594" s="537"/>
      <c r="E594" s="537"/>
      <c r="F594" s="537"/>
      <c r="G594" s="537"/>
      <c r="H594" s="537"/>
      <c r="I594" s="537"/>
      <c r="J594" s="537"/>
      <c r="K594" s="537"/>
      <c r="L594" s="537"/>
      <c r="M594" s="537"/>
      <c r="N594" s="537"/>
      <c r="O594" s="537"/>
      <c r="P594" s="537"/>
      <c r="Q594" s="537"/>
      <c r="R594" s="537"/>
      <c r="S594" s="537"/>
      <c r="T594" s="537"/>
      <c r="U594" s="537"/>
    </row>
    <row r="595" spans="1:21" hidden="1" x14ac:dyDescent="0.2">
      <c r="A595" s="537" t="str">
        <f t="shared" si="18"/>
        <v>BLANK...</v>
      </c>
      <c r="B595" s="537" t="s">
        <v>193</v>
      </c>
      <c r="C595" s="537" t="str">
        <f t="shared" si="19"/>
        <v>..</v>
      </c>
      <c r="D595" s="537"/>
      <c r="E595" s="537"/>
      <c r="F595" s="537"/>
      <c r="G595" s="537"/>
      <c r="H595" s="537"/>
      <c r="I595" s="537"/>
      <c r="J595" s="537"/>
      <c r="K595" s="537"/>
      <c r="L595" s="537"/>
      <c r="M595" s="537"/>
      <c r="N595" s="537"/>
      <c r="O595" s="537"/>
      <c r="P595" s="537"/>
      <c r="Q595" s="537"/>
      <c r="R595" s="537"/>
      <c r="S595" s="537"/>
      <c r="T595" s="537"/>
      <c r="U595" s="537"/>
    </row>
    <row r="596" spans="1:21" hidden="1" x14ac:dyDescent="0.2">
      <c r="A596" s="537" t="str">
        <f t="shared" si="18"/>
        <v>BLANK...</v>
      </c>
      <c r="B596" s="537" t="s">
        <v>193</v>
      </c>
      <c r="C596" s="537" t="str">
        <f t="shared" si="19"/>
        <v>..</v>
      </c>
      <c r="D596" s="537"/>
      <c r="E596" s="537"/>
      <c r="F596" s="537"/>
      <c r="G596" s="537"/>
      <c r="H596" s="537"/>
      <c r="I596" s="537"/>
      <c r="J596" s="537"/>
      <c r="K596" s="537"/>
      <c r="L596" s="537"/>
      <c r="M596" s="537"/>
      <c r="N596" s="537"/>
      <c r="O596" s="537"/>
      <c r="P596" s="537"/>
      <c r="Q596" s="537"/>
      <c r="R596" s="537"/>
      <c r="S596" s="537"/>
      <c r="T596" s="537"/>
      <c r="U596" s="537"/>
    </row>
    <row r="597" spans="1:21" hidden="1" x14ac:dyDescent="0.2">
      <c r="A597" s="537" t="str">
        <f t="shared" si="18"/>
        <v>BLANK...</v>
      </c>
      <c r="B597" s="537" t="s">
        <v>193</v>
      </c>
      <c r="C597" s="537" t="str">
        <f t="shared" si="19"/>
        <v>..</v>
      </c>
      <c r="D597" s="537"/>
      <c r="E597" s="537"/>
      <c r="F597" s="537"/>
      <c r="G597" s="537"/>
      <c r="H597" s="537"/>
      <c r="I597" s="537"/>
      <c r="J597" s="537"/>
      <c r="K597" s="537"/>
      <c r="L597" s="537"/>
      <c r="M597" s="537"/>
      <c r="N597" s="537"/>
      <c r="O597" s="537"/>
      <c r="P597" s="537"/>
      <c r="Q597" s="537"/>
      <c r="R597" s="537"/>
      <c r="S597" s="537"/>
      <c r="T597" s="537"/>
      <c r="U597" s="537"/>
    </row>
    <row r="598" spans="1:21" hidden="1" x14ac:dyDescent="0.2">
      <c r="A598" s="537" t="str">
        <f t="shared" si="18"/>
        <v>BLANK...</v>
      </c>
      <c r="B598" s="537" t="s">
        <v>193</v>
      </c>
      <c r="C598" s="537" t="str">
        <f t="shared" si="19"/>
        <v>..</v>
      </c>
      <c r="D598" s="537"/>
      <c r="E598" s="537"/>
      <c r="F598" s="537"/>
      <c r="G598" s="537"/>
      <c r="H598" s="537"/>
      <c r="I598" s="537"/>
      <c r="J598" s="537"/>
      <c r="K598" s="537"/>
      <c r="L598" s="537"/>
      <c r="M598" s="537"/>
      <c r="N598" s="537"/>
      <c r="O598" s="537"/>
      <c r="P598" s="537"/>
      <c r="Q598" s="537"/>
      <c r="R598" s="537"/>
      <c r="S598" s="537"/>
      <c r="T598" s="537"/>
      <c r="U598" s="537"/>
    </row>
    <row r="599" spans="1:21" hidden="1" x14ac:dyDescent="0.2">
      <c r="A599" s="537" t="str">
        <f t="shared" si="18"/>
        <v>BLANK...</v>
      </c>
      <c r="B599" s="537" t="s">
        <v>193</v>
      </c>
      <c r="C599" s="537" t="str">
        <f t="shared" si="19"/>
        <v>..</v>
      </c>
      <c r="D599" s="537"/>
      <c r="E599" s="537"/>
      <c r="F599" s="537"/>
      <c r="G599" s="537"/>
      <c r="H599" s="537"/>
      <c r="I599" s="537"/>
      <c r="J599" s="537"/>
      <c r="K599" s="537"/>
      <c r="L599" s="537"/>
      <c r="M599" s="537"/>
      <c r="N599" s="537"/>
      <c r="O599" s="537"/>
      <c r="P599" s="537"/>
      <c r="Q599" s="537"/>
      <c r="R599" s="537"/>
      <c r="S599" s="537"/>
      <c r="T599" s="537"/>
      <c r="U599" s="537"/>
    </row>
    <row r="600" spans="1:21" hidden="1" x14ac:dyDescent="0.2">
      <c r="A600" s="537" t="str">
        <f t="shared" si="18"/>
        <v>BLANK...</v>
      </c>
      <c r="B600" s="537" t="s">
        <v>193</v>
      </c>
      <c r="C600" s="537" t="str">
        <f t="shared" si="19"/>
        <v>..</v>
      </c>
      <c r="D600" s="537"/>
      <c r="E600" s="537"/>
      <c r="F600" s="537"/>
      <c r="G600" s="537"/>
      <c r="H600" s="537"/>
      <c r="I600" s="537"/>
      <c r="J600" s="537"/>
      <c r="K600" s="537"/>
      <c r="L600" s="537"/>
      <c r="M600" s="537"/>
      <c r="N600" s="537"/>
      <c r="O600" s="537"/>
      <c r="P600" s="537"/>
      <c r="Q600" s="537"/>
      <c r="R600" s="537"/>
      <c r="S600" s="537"/>
      <c r="T600" s="537"/>
      <c r="U600" s="537"/>
    </row>
    <row r="601" spans="1:21" hidden="1" x14ac:dyDescent="0.2">
      <c r="A601" s="537" t="str">
        <f t="shared" si="18"/>
        <v>BLANK...</v>
      </c>
      <c r="B601" s="537" t="s">
        <v>193</v>
      </c>
      <c r="C601" s="537" t="str">
        <f t="shared" si="19"/>
        <v>..</v>
      </c>
      <c r="D601" s="537"/>
      <c r="E601" s="537"/>
      <c r="F601" s="537"/>
      <c r="G601" s="537"/>
      <c r="H601" s="537"/>
      <c r="I601" s="537"/>
      <c r="J601" s="537"/>
      <c r="K601" s="537"/>
      <c r="L601" s="537"/>
      <c r="M601" s="537"/>
      <c r="N601" s="537"/>
      <c r="O601" s="537"/>
      <c r="P601" s="537"/>
      <c r="Q601" s="537"/>
      <c r="R601" s="537"/>
      <c r="S601" s="537"/>
      <c r="T601" s="537"/>
      <c r="U601" s="537"/>
    </row>
    <row r="602" spans="1:21" hidden="1" x14ac:dyDescent="0.2">
      <c r="A602" s="537" t="str">
        <f t="shared" si="18"/>
        <v>BLANK...</v>
      </c>
      <c r="B602" s="537" t="s">
        <v>193</v>
      </c>
      <c r="C602" s="537" t="str">
        <f t="shared" si="19"/>
        <v>..</v>
      </c>
      <c r="D602" s="537"/>
      <c r="E602" s="537"/>
      <c r="F602" s="537"/>
      <c r="G602" s="537"/>
      <c r="H602" s="537"/>
      <c r="I602" s="537"/>
      <c r="J602" s="537"/>
      <c r="K602" s="537"/>
      <c r="L602" s="537"/>
      <c r="M602" s="537"/>
      <c r="N602" s="537"/>
      <c r="O602" s="537"/>
      <c r="P602" s="537"/>
      <c r="Q602" s="537"/>
      <c r="R602" s="537"/>
      <c r="S602" s="537"/>
      <c r="T602" s="537"/>
      <c r="U602" s="537"/>
    </row>
    <row r="603" spans="1:21" hidden="1" x14ac:dyDescent="0.2">
      <c r="A603" s="537" t="str">
        <f t="shared" si="18"/>
        <v>BLANK...</v>
      </c>
      <c r="B603" s="537" t="s">
        <v>193</v>
      </c>
      <c r="C603" s="537" t="str">
        <f t="shared" si="19"/>
        <v>..</v>
      </c>
      <c r="D603" s="537"/>
      <c r="E603" s="537"/>
      <c r="F603" s="537"/>
      <c r="G603" s="537"/>
      <c r="H603" s="537"/>
      <c r="I603" s="537"/>
      <c r="J603" s="537"/>
      <c r="K603" s="537"/>
      <c r="L603" s="537"/>
      <c r="M603" s="537"/>
      <c r="N603" s="537"/>
      <c r="O603" s="537"/>
      <c r="P603" s="537"/>
      <c r="Q603" s="537"/>
      <c r="R603" s="537"/>
      <c r="S603" s="537"/>
      <c r="T603" s="537"/>
      <c r="U603" s="537"/>
    </row>
    <row r="604" spans="1:21" hidden="1" x14ac:dyDescent="0.2">
      <c r="A604" s="537" t="str">
        <f t="shared" si="18"/>
        <v>BLANK...</v>
      </c>
      <c r="B604" s="537" t="s">
        <v>193</v>
      </c>
      <c r="C604" s="537" t="str">
        <f t="shared" si="19"/>
        <v>..</v>
      </c>
      <c r="D604" s="537"/>
      <c r="E604" s="537"/>
      <c r="F604" s="537"/>
      <c r="G604" s="537"/>
      <c r="H604" s="537"/>
      <c r="I604" s="537"/>
      <c r="J604" s="537"/>
      <c r="K604" s="537"/>
      <c r="L604" s="537"/>
      <c r="M604" s="537"/>
      <c r="N604" s="537"/>
      <c r="O604" s="537"/>
      <c r="P604" s="537"/>
      <c r="Q604" s="537"/>
      <c r="R604" s="537"/>
      <c r="S604" s="537"/>
      <c r="T604" s="537"/>
      <c r="U604" s="537"/>
    </row>
    <row r="605" spans="1:21" hidden="1" x14ac:dyDescent="0.2">
      <c r="A605" s="537" t="str">
        <f t="shared" si="18"/>
        <v>BLANK...</v>
      </c>
      <c r="B605" s="537" t="s">
        <v>193</v>
      </c>
      <c r="C605" s="537" t="str">
        <f t="shared" si="19"/>
        <v>..</v>
      </c>
      <c r="D605" s="537"/>
      <c r="E605" s="537"/>
      <c r="F605" s="537"/>
      <c r="G605" s="537"/>
      <c r="H605" s="537"/>
      <c r="I605" s="537"/>
      <c r="J605" s="537"/>
      <c r="K605" s="537"/>
      <c r="L605" s="537"/>
      <c r="M605" s="537"/>
      <c r="N605" s="537"/>
      <c r="O605" s="537"/>
      <c r="P605" s="537"/>
      <c r="Q605" s="537"/>
      <c r="R605" s="537"/>
      <c r="S605" s="537"/>
      <c r="T605" s="537"/>
      <c r="U605" s="537"/>
    </row>
    <row r="606" spans="1:21" hidden="1" x14ac:dyDescent="0.2">
      <c r="A606" s="537" t="str">
        <f t="shared" si="18"/>
        <v>BLANK...</v>
      </c>
      <c r="B606" s="537" t="s">
        <v>193</v>
      </c>
      <c r="C606" s="537" t="str">
        <f t="shared" si="19"/>
        <v>..</v>
      </c>
      <c r="D606" s="537"/>
      <c r="E606" s="537"/>
      <c r="F606" s="537"/>
      <c r="G606" s="537"/>
      <c r="H606" s="537"/>
      <c r="I606" s="537"/>
      <c r="J606" s="537"/>
      <c r="K606" s="537"/>
      <c r="L606" s="537"/>
      <c r="M606" s="537"/>
      <c r="N606" s="537"/>
      <c r="O606" s="537"/>
      <c r="P606" s="537"/>
      <c r="Q606" s="537"/>
      <c r="R606" s="537"/>
      <c r="S606" s="537"/>
      <c r="T606" s="537"/>
      <c r="U606" s="537"/>
    </row>
    <row r="607" spans="1:21" hidden="1" x14ac:dyDescent="0.2">
      <c r="A607" s="537" t="str">
        <f t="shared" si="18"/>
        <v>BLANK...</v>
      </c>
      <c r="B607" s="537" t="s">
        <v>193</v>
      </c>
      <c r="C607" s="537" t="str">
        <f t="shared" si="19"/>
        <v>..</v>
      </c>
      <c r="D607" s="537"/>
      <c r="E607" s="537"/>
      <c r="F607" s="537"/>
      <c r="G607" s="537"/>
      <c r="H607" s="537"/>
      <c r="I607" s="537"/>
      <c r="J607" s="537"/>
      <c r="K607" s="537"/>
      <c r="L607" s="537"/>
      <c r="M607" s="537"/>
      <c r="N607" s="537"/>
      <c r="O607" s="537"/>
      <c r="P607" s="537"/>
      <c r="Q607" s="537"/>
      <c r="R607" s="537"/>
      <c r="S607" s="537"/>
      <c r="T607" s="537"/>
      <c r="U607" s="537"/>
    </row>
    <row r="608" spans="1:21" hidden="1" x14ac:dyDescent="0.2">
      <c r="A608" s="537" t="str">
        <f t="shared" si="18"/>
        <v>BLANK...</v>
      </c>
      <c r="B608" s="537" t="s">
        <v>193</v>
      </c>
      <c r="C608" s="537" t="str">
        <f t="shared" si="19"/>
        <v>..</v>
      </c>
      <c r="D608" s="537"/>
      <c r="E608" s="537"/>
      <c r="F608" s="537"/>
      <c r="G608" s="537"/>
      <c r="H608" s="537"/>
      <c r="I608" s="537"/>
      <c r="J608" s="537"/>
      <c r="K608" s="537"/>
      <c r="L608" s="537"/>
      <c r="M608" s="537"/>
      <c r="N608" s="537"/>
      <c r="O608" s="537"/>
      <c r="P608" s="537"/>
      <c r="Q608" s="537"/>
      <c r="R608" s="537"/>
      <c r="S608" s="537"/>
      <c r="T608" s="537"/>
      <c r="U608" s="537"/>
    </row>
    <row r="609" spans="1:21" x14ac:dyDescent="0.2">
      <c r="A609" s="537" t="str">
        <f t="shared" si="18"/>
        <v>Moray.2009.Accommodation - Establishments.Serviced Accommodation 1</v>
      </c>
      <c r="B609" s="537" t="s">
        <v>196</v>
      </c>
      <c r="C609" s="537" t="str">
        <f t="shared" si="19"/>
        <v>2009.Accommodation - Establishments.Serviced Accommodation 1</v>
      </c>
      <c r="D609" s="537" t="s">
        <v>197</v>
      </c>
      <c r="E609" s="537" t="s">
        <v>153</v>
      </c>
      <c r="F609" s="537" t="s">
        <v>154</v>
      </c>
      <c r="G609" s="537" t="s">
        <v>198</v>
      </c>
      <c r="H609" s="537"/>
      <c r="I609" s="537"/>
      <c r="J609" s="537"/>
      <c r="K609" s="537"/>
      <c r="L609" s="537"/>
      <c r="M609" s="537"/>
      <c r="N609" s="537"/>
      <c r="O609" s="537"/>
      <c r="P609" s="537"/>
      <c r="Q609" s="537"/>
      <c r="R609" s="537"/>
      <c r="S609" s="537"/>
      <c r="T609" s="537">
        <v>2</v>
      </c>
      <c r="U609" s="537" t="s">
        <v>152</v>
      </c>
    </row>
    <row r="610" spans="1:21" x14ac:dyDescent="0.2">
      <c r="A610" s="537" t="str">
        <f t="shared" si="18"/>
        <v>Moray.2009.Accommodation - Establishments.Serviced Accommodation 2</v>
      </c>
      <c r="B610" s="537" t="s">
        <v>196</v>
      </c>
      <c r="C610" s="537" t="str">
        <f t="shared" si="19"/>
        <v>2009.Accommodation - Establishments.Serviced Accommodation 2</v>
      </c>
      <c r="D610" s="537" t="s">
        <v>197</v>
      </c>
      <c r="E610" s="537" t="s">
        <v>153</v>
      </c>
      <c r="F610" s="537" t="s">
        <v>155</v>
      </c>
      <c r="G610" s="537" t="s">
        <v>199</v>
      </c>
      <c r="H610" s="537"/>
      <c r="I610" s="537"/>
      <c r="J610" s="537"/>
      <c r="K610" s="537"/>
      <c r="L610" s="537"/>
      <c r="M610" s="537"/>
      <c r="N610" s="537"/>
      <c r="O610" s="537"/>
      <c r="P610" s="537"/>
      <c r="Q610" s="537"/>
      <c r="R610" s="537"/>
      <c r="S610" s="537"/>
      <c r="T610" s="537">
        <v>4</v>
      </c>
      <c r="U610" s="537" t="s">
        <v>152</v>
      </c>
    </row>
    <row r="611" spans="1:21" x14ac:dyDescent="0.2">
      <c r="A611" s="537" t="str">
        <f t="shared" si="18"/>
        <v>Moray.2009.Accommodation - Establishments.Serviced Accommodation 3</v>
      </c>
      <c r="B611" s="537" t="s">
        <v>196</v>
      </c>
      <c r="C611" s="537" t="str">
        <f t="shared" si="19"/>
        <v>2009.Accommodation - Establishments.Serviced Accommodation 3</v>
      </c>
      <c r="D611" s="537" t="s">
        <v>197</v>
      </c>
      <c r="E611" s="537" t="s">
        <v>153</v>
      </c>
      <c r="F611" s="537" t="s">
        <v>156</v>
      </c>
      <c r="G611" s="537" t="s">
        <v>200</v>
      </c>
      <c r="H611" s="537"/>
      <c r="I611" s="537"/>
      <c r="J611" s="537"/>
      <c r="K611" s="537"/>
      <c r="L611" s="537"/>
      <c r="M611" s="537"/>
      <c r="N611" s="537"/>
      <c r="O611" s="537"/>
      <c r="P611" s="537"/>
      <c r="Q611" s="537"/>
      <c r="R611" s="537"/>
      <c r="S611" s="537"/>
      <c r="T611" s="537">
        <v>77</v>
      </c>
      <c r="U611" s="537" t="s">
        <v>152</v>
      </c>
    </row>
    <row r="612" spans="1:21" x14ac:dyDescent="0.2">
      <c r="A612" s="537" t="str">
        <f t="shared" si="18"/>
        <v>Moray.2009.Accommodation - Establishments.Serviced Accommodation 4</v>
      </c>
      <c r="B612" s="537" t="s">
        <v>196</v>
      </c>
      <c r="C612" s="537" t="str">
        <f t="shared" si="19"/>
        <v>2009.Accommodation - Establishments.Serviced Accommodation 4</v>
      </c>
      <c r="D612" s="537" t="s">
        <v>197</v>
      </c>
      <c r="E612" s="537" t="s">
        <v>153</v>
      </c>
      <c r="F612" s="537" t="s">
        <v>157</v>
      </c>
      <c r="G612" s="537" t="s">
        <v>201</v>
      </c>
      <c r="H612" s="537"/>
      <c r="I612" s="537"/>
      <c r="J612" s="537"/>
      <c r="K612" s="537"/>
      <c r="L612" s="537"/>
      <c r="M612" s="537"/>
      <c r="N612" s="537"/>
      <c r="O612" s="537"/>
      <c r="P612" s="537"/>
      <c r="Q612" s="537"/>
      <c r="R612" s="537"/>
      <c r="S612" s="537"/>
      <c r="T612" s="537">
        <v>125</v>
      </c>
      <c r="U612" s="537" t="s">
        <v>152</v>
      </c>
    </row>
    <row r="613" spans="1:21" x14ac:dyDescent="0.2">
      <c r="A613" s="537" t="str">
        <f t="shared" si="18"/>
        <v>Moray.2009.Accommodation - Establishments.Serviced Accommodation 5</v>
      </c>
      <c r="B613" s="537" t="s">
        <v>196</v>
      </c>
      <c r="C613" s="537" t="str">
        <f t="shared" si="19"/>
        <v>2009.Accommodation - Establishments.Serviced Accommodation 5</v>
      </c>
      <c r="D613" s="537" t="s">
        <v>197</v>
      </c>
      <c r="E613" s="537" t="s">
        <v>153</v>
      </c>
      <c r="F613" s="537" t="s">
        <v>158</v>
      </c>
      <c r="G613" s="537" t="s">
        <v>194</v>
      </c>
      <c r="H613" s="537"/>
      <c r="I613" s="537"/>
      <c r="J613" s="537"/>
      <c r="K613" s="537"/>
      <c r="L613" s="537"/>
      <c r="M613" s="537"/>
      <c r="N613" s="537"/>
      <c r="O613" s="537"/>
      <c r="P613" s="537"/>
      <c r="Q613" s="537"/>
      <c r="R613" s="537"/>
      <c r="S613" s="537"/>
      <c r="T613" s="537" t="s">
        <v>194</v>
      </c>
      <c r="U613" s="537" t="s">
        <v>152</v>
      </c>
    </row>
    <row r="614" spans="1:21" ht="15" customHeight="1" x14ac:dyDescent="0.2">
      <c r="A614" s="537" t="str">
        <f t="shared" si="18"/>
        <v>Moray.2009.Accommodation - Establishments.Serviced Accommodation Total</v>
      </c>
      <c r="B614" s="537" t="s">
        <v>196</v>
      </c>
      <c r="C614" s="537" t="str">
        <f t="shared" si="19"/>
        <v>2009.Accommodation - Establishments.Serviced Accommodation Total</v>
      </c>
      <c r="D614" s="537" t="s">
        <v>197</v>
      </c>
      <c r="E614" s="537" t="s">
        <v>153</v>
      </c>
      <c r="F614" s="537" t="s">
        <v>164</v>
      </c>
      <c r="G614" s="537" t="s">
        <v>195</v>
      </c>
      <c r="H614" s="537"/>
      <c r="I614" s="537"/>
      <c r="J614" s="537"/>
      <c r="K614" s="537"/>
      <c r="L614" s="537"/>
      <c r="M614" s="537"/>
      <c r="N614" s="537"/>
      <c r="O614" s="537"/>
      <c r="P614" s="537"/>
      <c r="Q614" s="537"/>
      <c r="R614" s="537"/>
      <c r="S614" s="537"/>
      <c r="T614" s="537">
        <v>208</v>
      </c>
      <c r="U614" s="537" t="s">
        <v>152</v>
      </c>
    </row>
    <row r="615" spans="1:21" ht="15" customHeight="1" x14ac:dyDescent="0.2">
      <c r="A615" s="537" t="str">
        <f t="shared" si="18"/>
        <v>Moray.2009.Accommodation - Establishments.Non-Serviced Accommodation 1</v>
      </c>
      <c r="B615" s="537" t="s">
        <v>196</v>
      </c>
      <c r="C615" s="537" t="str">
        <f t="shared" si="19"/>
        <v>2009.Accommodation - Establishments.Non-Serviced Accommodation 1</v>
      </c>
      <c r="D615" s="537" t="s">
        <v>197</v>
      </c>
      <c r="E615" s="537" t="s">
        <v>153</v>
      </c>
      <c r="F615" s="537" t="s">
        <v>159</v>
      </c>
      <c r="G615" s="537" t="s">
        <v>202</v>
      </c>
      <c r="H615" s="537"/>
      <c r="I615" s="537"/>
      <c r="J615" s="537"/>
      <c r="K615" s="537"/>
      <c r="L615" s="537"/>
      <c r="M615" s="537"/>
      <c r="N615" s="537"/>
      <c r="O615" s="537"/>
      <c r="P615" s="537"/>
      <c r="Q615" s="537"/>
      <c r="R615" s="537"/>
      <c r="S615" s="537"/>
      <c r="T615" s="537">
        <v>183</v>
      </c>
      <c r="U615" s="537" t="s">
        <v>152</v>
      </c>
    </row>
    <row r="616" spans="1:21" ht="15" customHeight="1" x14ac:dyDescent="0.2">
      <c r="A616" s="537" t="str">
        <f t="shared" si="18"/>
        <v>Moray.2009.Accommodation - Establishments.Non-Serviced Accommodation 2</v>
      </c>
      <c r="B616" s="537" t="s">
        <v>196</v>
      </c>
      <c r="C616" s="537" t="str">
        <f t="shared" si="19"/>
        <v>2009.Accommodation - Establishments.Non-Serviced Accommodation 2</v>
      </c>
      <c r="D616" s="537" t="s">
        <v>197</v>
      </c>
      <c r="E616" s="537" t="s">
        <v>153</v>
      </c>
      <c r="F616" s="537" t="s">
        <v>160</v>
      </c>
      <c r="G616" s="537" t="s">
        <v>203</v>
      </c>
      <c r="H616" s="537"/>
      <c r="I616" s="537"/>
      <c r="J616" s="537"/>
      <c r="K616" s="537"/>
      <c r="L616" s="537"/>
      <c r="M616" s="537"/>
      <c r="N616" s="537"/>
      <c r="O616" s="537"/>
      <c r="P616" s="537"/>
      <c r="Q616" s="537"/>
      <c r="R616" s="537"/>
      <c r="S616" s="537"/>
      <c r="T616" s="537">
        <v>18</v>
      </c>
      <c r="U616" s="537" t="s">
        <v>152</v>
      </c>
    </row>
    <row r="617" spans="1:21" ht="15" customHeight="1" x14ac:dyDescent="0.2">
      <c r="A617" s="537" t="str">
        <f t="shared" si="18"/>
        <v>Moray.2009.Accommodation - Establishments.Non-Serviced Accommodation 3</v>
      </c>
      <c r="B617" s="537" t="s">
        <v>196</v>
      </c>
      <c r="C617" s="537" t="str">
        <f t="shared" si="19"/>
        <v>2009.Accommodation - Establishments.Non-Serviced Accommodation 3</v>
      </c>
      <c r="D617" s="537" t="s">
        <v>197</v>
      </c>
      <c r="E617" s="537" t="s">
        <v>153</v>
      </c>
      <c r="F617" s="537" t="s">
        <v>161</v>
      </c>
      <c r="G617" s="537" t="s">
        <v>194</v>
      </c>
      <c r="H617" s="537"/>
      <c r="I617" s="537"/>
      <c r="J617" s="537"/>
      <c r="K617" s="537"/>
      <c r="L617" s="537"/>
      <c r="M617" s="537"/>
      <c r="N617" s="537"/>
      <c r="O617" s="537"/>
      <c r="P617" s="537"/>
      <c r="Q617" s="537"/>
      <c r="R617" s="537"/>
      <c r="S617" s="537"/>
      <c r="T617" s="537" t="s">
        <v>194</v>
      </c>
      <c r="U617" s="537" t="s">
        <v>152</v>
      </c>
    </row>
    <row r="618" spans="1:21" ht="15" customHeight="1" x14ac:dyDescent="0.2">
      <c r="A618" s="537" t="str">
        <f t="shared" si="18"/>
        <v>Moray.2009.Accommodation - Establishments.Non-Serviced Accommodation 4</v>
      </c>
      <c r="B618" s="537" t="s">
        <v>196</v>
      </c>
      <c r="C618" s="537" t="str">
        <f t="shared" si="19"/>
        <v>2009.Accommodation - Establishments.Non-Serviced Accommodation 4</v>
      </c>
      <c r="D618" s="537" t="s">
        <v>197</v>
      </c>
      <c r="E618" s="537" t="s">
        <v>153</v>
      </c>
      <c r="F618" s="537" t="s">
        <v>162</v>
      </c>
      <c r="G618" s="537" t="s">
        <v>194</v>
      </c>
      <c r="H618" s="537"/>
      <c r="I618" s="537"/>
      <c r="J618" s="537"/>
      <c r="K618" s="537"/>
      <c r="L618" s="537"/>
      <c r="M618" s="537"/>
      <c r="N618" s="537"/>
      <c r="O618" s="537"/>
      <c r="P618" s="537"/>
      <c r="Q618" s="537"/>
      <c r="R618" s="537"/>
      <c r="S618" s="537"/>
      <c r="T618" s="537" t="s">
        <v>194</v>
      </c>
      <c r="U618" s="537" t="s">
        <v>152</v>
      </c>
    </row>
    <row r="619" spans="1:21" ht="15" customHeight="1" x14ac:dyDescent="0.2">
      <c r="A619" s="537" t="str">
        <f t="shared" si="18"/>
        <v>Moray.2009.Accommodation - Establishments.Non-Serviced Accommodation 5</v>
      </c>
      <c r="B619" s="537" t="s">
        <v>196</v>
      </c>
      <c r="C619" s="537" t="str">
        <f t="shared" si="19"/>
        <v>2009.Accommodation - Establishments.Non-Serviced Accommodation 5</v>
      </c>
      <c r="D619" s="537" t="s">
        <v>197</v>
      </c>
      <c r="E619" s="537" t="s">
        <v>153</v>
      </c>
      <c r="F619" s="537" t="s">
        <v>163</v>
      </c>
      <c r="G619" s="537" t="s">
        <v>194</v>
      </c>
      <c r="H619" s="537"/>
      <c r="I619" s="537"/>
      <c r="J619" s="537"/>
      <c r="K619" s="537"/>
      <c r="L619" s="537"/>
      <c r="M619" s="537"/>
      <c r="N619" s="537"/>
      <c r="O619" s="537"/>
      <c r="P619" s="537"/>
      <c r="Q619" s="537"/>
      <c r="R619" s="537"/>
      <c r="S619" s="537"/>
      <c r="T619" s="537" t="s">
        <v>194</v>
      </c>
      <c r="U619" s="537" t="s">
        <v>152</v>
      </c>
    </row>
    <row r="620" spans="1:21" ht="15" customHeight="1" x14ac:dyDescent="0.2">
      <c r="A620" s="537" t="str">
        <f t="shared" si="18"/>
        <v>Moray.2009.Accommodation - Establishments.Non-Serviced Accommodation Total</v>
      </c>
      <c r="B620" s="537" t="s">
        <v>196</v>
      </c>
      <c r="C620" s="537" t="str">
        <f t="shared" si="19"/>
        <v>2009.Accommodation - Establishments.Non-Serviced Accommodation Total</v>
      </c>
      <c r="D620" s="537" t="s">
        <v>197</v>
      </c>
      <c r="E620" s="537" t="s">
        <v>153</v>
      </c>
      <c r="F620" s="537" t="s">
        <v>165</v>
      </c>
      <c r="G620" s="537" t="s">
        <v>204</v>
      </c>
      <c r="H620" s="537"/>
      <c r="I620" s="537"/>
      <c r="J620" s="537"/>
      <c r="K620" s="537"/>
      <c r="L620" s="537"/>
      <c r="M620" s="537"/>
      <c r="N620" s="537"/>
      <c r="O620" s="537"/>
      <c r="P620" s="537"/>
      <c r="Q620" s="537"/>
      <c r="R620" s="537"/>
      <c r="S620" s="537"/>
      <c r="T620" s="537">
        <v>201</v>
      </c>
      <c r="U620" s="537" t="s">
        <v>152</v>
      </c>
    </row>
    <row r="621" spans="1:21" ht="15" customHeight="1" x14ac:dyDescent="0.2">
      <c r="A621" s="537" t="str">
        <f t="shared" si="18"/>
        <v>Moray.2009.Accommodation - Establishments.All Accommodation Types</v>
      </c>
      <c r="B621" s="537" t="s">
        <v>196</v>
      </c>
      <c r="C621" s="537" t="str">
        <f t="shared" si="19"/>
        <v>2009.Accommodation - Establishments.All Accommodation Types</v>
      </c>
      <c r="D621" s="537" t="s">
        <v>197</v>
      </c>
      <c r="E621" s="537" t="s">
        <v>153</v>
      </c>
      <c r="F621" s="537" t="s">
        <v>166</v>
      </c>
      <c r="G621" s="537" t="s">
        <v>39</v>
      </c>
      <c r="H621" s="537"/>
      <c r="I621" s="537"/>
      <c r="J621" s="537"/>
      <c r="K621" s="537"/>
      <c r="L621" s="537"/>
      <c r="M621" s="537"/>
      <c r="N621" s="537"/>
      <c r="O621" s="537"/>
      <c r="P621" s="537"/>
      <c r="Q621" s="537"/>
      <c r="R621" s="537"/>
      <c r="S621" s="537"/>
      <c r="T621" s="537">
        <v>409</v>
      </c>
      <c r="U621" s="537" t="s">
        <v>152</v>
      </c>
    </row>
    <row r="622" spans="1:21" x14ac:dyDescent="0.2">
      <c r="A622" s="537" t="str">
        <f t="shared" si="18"/>
        <v>Moray.2009.Accommodation - Bed Spaces.Serviced Accommodation 1</v>
      </c>
      <c r="B622" s="537" t="s">
        <v>196</v>
      </c>
      <c r="C622" s="537" t="str">
        <f t="shared" si="19"/>
        <v>2009.Accommodation - Bed Spaces.Serviced Accommodation 1</v>
      </c>
      <c r="D622" s="537" t="s">
        <v>197</v>
      </c>
      <c r="E622" s="537" t="s">
        <v>167</v>
      </c>
      <c r="F622" s="537" t="s">
        <v>154</v>
      </c>
      <c r="G622" s="537" t="s">
        <v>198</v>
      </c>
      <c r="H622" s="537"/>
      <c r="I622" s="537"/>
      <c r="J622" s="537"/>
      <c r="K622" s="537"/>
      <c r="L622" s="537"/>
      <c r="M622" s="537"/>
      <c r="N622" s="537"/>
      <c r="O622" s="537"/>
      <c r="P622" s="537"/>
      <c r="Q622" s="537"/>
      <c r="R622" s="537"/>
      <c r="S622" s="537"/>
      <c r="T622" s="537">
        <v>219</v>
      </c>
      <c r="U622" s="537" t="s">
        <v>59</v>
      </c>
    </row>
    <row r="623" spans="1:21" x14ac:dyDescent="0.2">
      <c r="A623" s="537" t="str">
        <f t="shared" si="18"/>
        <v>Moray.2009.Accommodation - Bed Spaces.Serviced Accommodation 2</v>
      </c>
      <c r="B623" s="537" t="s">
        <v>196</v>
      </c>
      <c r="C623" s="537" t="str">
        <f t="shared" si="19"/>
        <v>2009.Accommodation - Bed Spaces.Serviced Accommodation 2</v>
      </c>
      <c r="D623" s="537" t="s">
        <v>197</v>
      </c>
      <c r="E623" s="537" t="s">
        <v>167</v>
      </c>
      <c r="F623" s="537" t="s">
        <v>155</v>
      </c>
      <c r="G623" s="537" t="s">
        <v>199</v>
      </c>
      <c r="H623" s="537"/>
      <c r="I623" s="537"/>
      <c r="J623" s="537"/>
      <c r="K623" s="537"/>
      <c r="L623" s="537"/>
      <c r="M623" s="537"/>
      <c r="N623" s="537"/>
      <c r="O623" s="537"/>
      <c r="P623" s="537"/>
      <c r="Q623" s="537"/>
      <c r="R623" s="537"/>
      <c r="S623" s="537"/>
      <c r="T623" s="537">
        <v>269</v>
      </c>
      <c r="U623" s="537" t="s">
        <v>59</v>
      </c>
    </row>
    <row r="624" spans="1:21" x14ac:dyDescent="0.2">
      <c r="A624" s="537" t="str">
        <f t="shared" si="18"/>
        <v>Moray.2009.Accommodation - Bed Spaces.Serviced Accommodation 3</v>
      </c>
      <c r="B624" s="537" t="s">
        <v>196</v>
      </c>
      <c r="C624" s="537" t="str">
        <f t="shared" si="19"/>
        <v>2009.Accommodation - Bed Spaces.Serviced Accommodation 3</v>
      </c>
      <c r="D624" s="537" t="s">
        <v>197</v>
      </c>
      <c r="E624" s="537" t="s">
        <v>167</v>
      </c>
      <c r="F624" s="537" t="s">
        <v>156</v>
      </c>
      <c r="G624" s="537" t="s">
        <v>200</v>
      </c>
      <c r="H624" s="537"/>
      <c r="I624" s="537"/>
      <c r="J624" s="537"/>
      <c r="K624" s="537"/>
      <c r="L624" s="537"/>
      <c r="M624" s="537"/>
      <c r="N624" s="537"/>
      <c r="O624" s="537"/>
      <c r="P624" s="537"/>
      <c r="Q624" s="537"/>
      <c r="R624" s="537"/>
      <c r="S624" s="537"/>
      <c r="T624" s="537">
        <v>1207</v>
      </c>
      <c r="U624" s="537" t="s">
        <v>59</v>
      </c>
    </row>
    <row r="625" spans="1:21" x14ac:dyDescent="0.2">
      <c r="A625" s="537" t="str">
        <f t="shared" si="18"/>
        <v>Moray.2009.Accommodation - Bed Spaces.Serviced Accommodation 4</v>
      </c>
      <c r="B625" s="537" t="s">
        <v>196</v>
      </c>
      <c r="C625" s="537" t="str">
        <f t="shared" si="19"/>
        <v>2009.Accommodation - Bed Spaces.Serviced Accommodation 4</v>
      </c>
      <c r="D625" s="537" t="s">
        <v>197</v>
      </c>
      <c r="E625" s="537" t="s">
        <v>167</v>
      </c>
      <c r="F625" s="537" t="s">
        <v>157</v>
      </c>
      <c r="G625" s="537" t="s">
        <v>201</v>
      </c>
      <c r="H625" s="537"/>
      <c r="I625" s="537"/>
      <c r="J625" s="537"/>
      <c r="K625" s="537"/>
      <c r="L625" s="537"/>
      <c r="M625" s="537"/>
      <c r="N625" s="537"/>
      <c r="O625" s="537"/>
      <c r="P625" s="537"/>
      <c r="Q625" s="537"/>
      <c r="R625" s="537"/>
      <c r="S625" s="537"/>
      <c r="T625" s="537">
        <v>938</v>
      </c>
      <c r="U625" s="537" t="s">
        <v>59</v>
      </c>
    </row>
    <row r="626" spans="1:21" x14ac:dyDescent="0.2">
      <c r="A626" s="537" t="str">
        <f t="shared" si="18"/>
        <v>Moray.2009.Accommodation - Bed Spaces.Serviced Accommodation 5</v>
      </c>
      <c r="B626" s="537" t="s">
        <v>196</v>
      </c>
      <c r="C626" s="537" t="str">
        <f t="shared" si="19"/>
        <v>2009.Accommodation - Bed Spaces.Serviced Accommodation 5</v>
      </c>
      <c r="D626" s="537" t="s">
        <v>197</v>
      </c>
      <c r="E626" s="537" t="s">
        <v>167</v>
      </c>
      <c r="F626" s="537" t="s">
        <v>158</v>
      </c>
      <c r="G626" s="537" t="s">
        <v>194</v>
      </c>
      <c r="H626" s="537"/>
      <c r="I626" s="537"/>
      <c r="J626" s="537"/>
      <c r="K626" s="537"/>
      <c r="L626" s="537"/>
      <c r="M626" s="537"/>
      <c r="N626" s="537"/>
      <c r="O626" s="537"/>
      <c r="P626" s="537"/>
      <c r="Q626" s="537"/>
      <c r="R626" s="537"/>
      <c r="S626" s="537"/>
      <c r="T626" s="537" t="s">
        <v>194</v>
      </c>
      <c r="U626" s="537" t="s">
        <v>59</v>
      </c>
    </row>
    <row r="627" spans="1:21" x14ac:dyDescent="0.2">
      <c r="A627" s="537" t="str">
        <f t="shared" si="18"/>
        <v>Moray.2009.Accommodation - Bed Spaces.Serviced Accommodation Total</v>
      </c>
      <c r="B627" s="537" t="s">
        <v>196</v>
      </c>
      <c r="C627" s="537" t="str">
        <f t="shared" si="19"/>
        <v>2009.Accommodation - Bed Spaces.Serviced Accommodation Total</v>
      </c>
      <c r="D627" s="537" t="s">
        <v>197</v>
      </c>
      <c r="E627" s="537" t="s">
        <v>167</v>
      </c>
      <c r="F627" s="537" t="s">
        <v>164</v>
      </c>
      <c r="G627" s="537" t="s">
        <v>195</v>
      </c>
      <c r="H627" s="537"/>
      <c r="I627" s="537"/>
      <c r="J627" s="537"/>
      <c r="K627" s="537"/>
      <c r="L627" s="537"/>
      <c r="M627" s="537"/>
      <c r="N627" s="537"/>
      <c r="O627" s="537"/>
      <c r="P627" s="537"/>
      <c r="Q627" s="537"/>
      <c r="R627" s="537"/>
      <c r="S627" s="537"/>
      <c r="T627" s="537">
        <v>2633</v>
      </c>
      <c r="U627" s="537" t="s">
        <v>59</v>
      </c>
    </row>
    <row r="628" spans="1:21" x14ac:dyDescent="0.2">
      <c r="A628" s="537" t="str">
        <f t="shared" si="18"/>
        <v>Moray.2009.Accommodation - Bed Spaces.Non-Serviced Accommodation 1</v>
      </c>
      <c r="B628" s="537" t="s">
        <v>196</v>
      </c>
      <c r="C628" s="537" t="str">
        <f t="shared" si="19"/>
        <v>2009.Accommodation - Bed Spaces.Non-Serviced Accommodation 1</v>
      </c>
      <c r="D628" s="537" t="s">
        <v>197</v>
      </c>
      <c r="E628" s="537" t="s">
        <v>167</v>
      </c>
      <c r="F628" s="537" t="s">
        <v>159</v>
      </c>
      <c r="G628" s="537" t="s">
        <v>202</v>
      </c>
      <c r="H628" s="537"/>
      <c r="I628" s="537"/>
      <c r="J628" s="537"/>
      <c r="K628" s="537"/>
      <c r="L628" s="537"/>
      <c r="M628" s="537"/>
      <c r="N628" s="537"/>
      <c r="O628" s="537"/>
      <c r="P628" s="537"/>
      <c r="Q628" s="537"/>
      <c r="R628" s="537"/>
      <c r="S628" s="537"/>
      <c r="T628" s="537">
        <v>2038</v>
      </c>
      <c r="U628" s="537" t="s">
        <v>59</v>
      </c>
    </row>
    <row r="629" spans="1:21" x14ac:dyDescent="0.2">
      <c r="A629" s="537" t="str">
        <f t="shared" si="18"/>
        <v>Moray.2009.Accommodation - Bed Spaces.Non-Serviced Accommodation 2</v>
      </c>
      <c r="B629" s="537" t="s">
        <v>196</v>
      </c>
      <c r="C629" s="537" t="str">
        <f t="shared" si="19"/>
        <v>2009.Accommodation - Bed Spaces.Non-Serviced Accommodation 2</v>
      </c>
      <c r="D629" s="537" t="s">
        <v>197</v>
      </c>
      <c r="E629" s="537" t="s">
        <v>167</v>
      </c>
      <c r="F629" s="537" t="s">
        <v>160</v>
      </c>
      <c r="G629" s="537" t="s">
        <v>203</v>
      </c>
      <c r="H629" s="537"/>
      <c r="I629" s="537"/>
      <c r="J629" s="537"/>
      <c r="K629" s="537"/>
      <c r="L629" s="537"/>
      <c r="M629" s="537"/>
      <c r="N629" s="537"/>
      <c r="O629" s="537"/>
      <c r="P629" s="537"/>
      <c r="Q629" s="537"/>
      <c r="R629" s="537"/>
      <c r="S629" s="537"/>
      <c r="T629" s="537">
        <v>2196</v>
      </c>
      <c r="U629" s="537" t="s">
        <v>59</v>
      </c>
    </row>
    <row r="630" spans="1:21" x14ac:dyDescent="0.2">
      <c r="A630" s="537" t="str">
        <f t="shared" si="18"/>
        <v>Moray.2009.Accommodation - Bed Spaces.Non-Serviced Accommodation 3</v>
      </c>
      <c r="B630" s="537" t="s">
        <v>196</v>
      </c>
      <c r="C630" s="537" t="str">
        <f t="shared" si="19"/>
        <v>2009.Accommodation - Bed Spaces.Non-Serviced Accommodation 3</v>
      </c>
      <c r="D630" s="537" t="s">
        <v>197</v>
      </c>
      <c r="E630" s="537" t="s">
        <v>167</v>
      </c>
      <c r="F630" s="537" t="s">
        <v>161</v>
      </c>
      <c r="G630" s="537" t="s">
        <v>194</v>
      </c>
      <c r="H630" s="537"/>
      <c r="I630" s="537"/>
      <c r="J630" s="537"/>
      <c r="K630" s="537"/>
      <c r="L630" s="537"/>
      <c r="M630" s="537"/>
      <c r="N630" s="537"/>
      <c r="O630" s="537"/>
      <c r="P630" s="537"/>
      <c r="Q630" s="537"/>
      <c r="R630" s="537"/>
      <c r="S630" s="537"/>
      <c r="T630" s="537" t="s">
        <v>194</v>
      </c>
      <c r="U630" s="537" t="s">
        <v>59</v>
      </c>
    </row>
    <row r="631" spans="1:21" x14ac:dyDescent="0.2">
      <c r="A631" s="537" t="str">
        <f t="shared" si="18"/>
        <v>Moray.2009.Accommodation - Bed Spaces.Non-Serviced Accommodation 4</v>
      </c>
      <c r="B631" s="537" t="s">
        <v>196</v>
      </c>
      <c r="C631" s="537" t="str">
        <f t="shared" si="19"/>
        <v>2009.Accommodation - Bed Spaces.Non-Serviced Accommodation 4</v>
      </c>
      <c r="D631" s="537" t="s">
        <v>197</v>
      </c>
      <c r="E631" s="537" t="s">
        <v>167</v>
      </c>
      <c r="F631" s="537" t="s">
        <v>162</v>
      </c>
      <c r="G631" s="537" t="s">
        <v>194</v>
      </c>
      <c r="H631" s="537"/>
      <c r="I631" s="537"/>
      <c r="J631" s="537"/>
      <c r="K631" s="537"/>
      <c r="L631" s="537"/>
      <c r="M631" s="537"/>
      <c r="N631" s="537"/>
      <c r="O631" s="537"/>
      <c r="P631" s="537"/>
      <c r="Q631" s="537"/>
      <c r="R631" s="537"/>
      <c r="S631" s="537"/>
      <c r="T631" s="537" t="s">
        <v>194</v>
      </c>
      <c r="U631" s="537" t="s">
        <v>59</v>
      </c>
    </row>
    <row r="632" spans="1:21" x14ac:dyDescent="0.2">
      <c r="A632" s="537" t="str">
        <f t="shared" si="18"/>
        <v>Moray.2009.Accommodation - Bed Spaces.Non-Serviced Accommodation 5</v>
      </c>
      <c r="B632" s="537" t="s">
        <v>196</v>
      </c>
      <c r="C632" s="537" t="str">
        <f t="shared" si="19"/>
        <v>2009.Accommodation - Bed Spaces.Non-Serviced Accommodation 5</v>
      </c>
      <c r="D632" s="537" t="s">
        <v>197</v>
      </c>
      <c r="E632" s="537" t="s">
        <v>167</v>
      </c>
      <c r="F632" s="537" t="s">
        <v>163</v>
      </c>
      <c r="G632" s="537" t="s">
        <v>194</v>
      </c>
      <c r="H632" s="537"/>
      <c r="I632" s="537"/>
      <c r="J632" s="537"/>
      <c r="K632" s="537"/>
      <c r="L632" s="537"/>
      <c r="M632" s="537"/>
      <c r="N632" s="537"/>
      <c r="O632" s="537"/>
      <c r="P632" s="537"/>
      <c r="Q632" s="537"/>
      <c r="R632" s="537"/>
      <c r="S632" s="537"/>
      <c r="T632" s="537" t="s">
        <v>194</v>
      </c>
      <c r="U632" s="537" t="s">
        <v>59</v>
      </c>
    </row>
    <row r="633" spans="1:21" x14ac:dyDescent="0.2">
      <c r="A633" s="537" t="str">
        <f t="shared" si="18"/>
        <v>Moray.2009.Accommodation - Bed Spaces.Non-Serviced Accommodation Total</v>
      </c>
      <c r="B633" s="537" t="s">
        <v>196</v>
      </c>
      <c r="C633" s="537" t="str">
        <f t="shared" si="19"/>
        <v>2009.Accommodation - Bed Spaces.Non-Serviced Accommodation Total</v>
      </c>
      <c r="D633" s="537" t="s">
        <v>197</v>
      </c>
      <c r="E633" s="537" t="s">
        <v>167</v>
      </c>
      <c r="F633" s="537" t="s">
        <v>165</v>
      </c>
      <c r="G633" s="537" t="s">
        <v>204</v>
      </c>
      <c r="H633" s="537"/>
      <c r="I633" s="537"/>
      <c r="J633" s="537"/>
      <c r="K633" s="537"/>
      <c r="L633" s="537"/>
      <c r="M633" s="537"/>
      <c r="N633" s="537"/>
      <c r="O633" s="537"/>
      <c r="P633" s="537"/>
      <c r="Q633" s="537"/>
      <c r="R633" s="537"/>
      <c r="S633" s="537"/>
      <c r="T633" s="537">
        <v>4234</v>
      </c>
      <c r="U633" s="537" t="s">
        <v>59</v>
      </c>
    </row>
    <row r="634" spans="1:21" x14ac:dyDescent="0.2">
      <c r="A634" s="537" t="str">
        <f t="shared" si="18"/>
        <v>Moray.2009.Accommodation - Bed Spaces.All Accommodation Types</v>
      </c>
      <c r="B634" s="537" t="s">
        <v>196</v>
      </c>
      <c r="C634" s="537" t="str">
        <f t="shared" si="19"/>
        <v>2009.Accommodation - Bed Spaces.All Accommodation Types</v>
      </c>
      <c r="D634" s="537" t="s">
        <v>197</v>
      </c>
      <c r="E634" s="537" t="s">
        <v>167</v>
      </c>
      <c r="F634" s="537" t="s">
        <v>166</v>
      </c>
      <c r="G634" s="537" t="s">
        <v>39</v>
      </c>
      <c r="H634" s="537"/>
      <c r="I634" s="537"/>
      <c r="J634" s="537"/>
      <c r="K634" s="537"/>
      <c r="L634" s="537"/>
      <c r="M634" s="537"/>
      <c r="N634" s="537"/>
      <c r="O634" s="537"/>
      <c r="P634" s="537"/>
      <c r="Q634" s="537"/>
      <c r="R634" s="537"/>
      <c r="S634" s="537"/>
      <c r="T634" s="537">
        <v>6867</v>
      </c>
      <c r="U634" s="537" t="s">
        <v>59</v>
      </c>
    </row>
    <row r="635" spans="1:21" x14ac:dyDescent="0.2">
      <c r="A635" s="537" t="str">
        <f t="shared" si="18"/>
        <v>Moray.2010.Accommodation - Establishments.Serviced Accommodation 1</v>
      </c>
      <c r="B635" s="537" t="s">
        <v>196</v>
      </c>
      <c r="C635" s="537" t="str">
        <f t="shared" si="19"/>
        <v>2010.Accommodation - Establishments.Serviced Accommodation 1</v>
      </c>
      <c r="D635" s="537" t="s">
        <v>205</v>
      </c>
      <c r="E635" s="537" t="s">
        <v>153</v>
      </c>
      <c r="F635" s="537" t="s">
        <v>154</v>
      </c>
      <c r="G635" s="537" t="s">
        <v>198</v>
      </c>
      <c r="H635" s="537"/>
      <c r="I635" s="537"/>
      <c r="J635" s="537"/>
      <c r="K635" s="537"/>
      <c r="L635" s="537"/>
      <c r="M635" s="537"/>
      <c r="N635" s="537"/>
      <c r="O635" s="537"/>
      <c r="P635" s="537"/>
      <c r="Q635" s="537"/>
      <c r="R635" s="537"/>
      <c r="S635" s="537"/>
      <c r="T635" s="537">
        <v>2</v>
      </c>
      <c r="U635" s="537" t="s">
        <v>152</v>
      </c>
    </row>
    <row r="636" spans="1:21" x14ac:dyDescent="0.2">
      <c r="A636" s="537" t="str">
        <f t="shared" si="18"/>
        <v>Moray.2010.Accommodation - Establishments.Serviced Accommodation 2</v>
      </c>
      <c r="B636" s="537" t="s">
        <v>196</v>
      </c>
      <c r="C636" s="537" t="str">
        <f t="shared" si="19"/>
        <v>2010.Accommodation - Establishments.Serviced Accommodation 2</v>
      </c>
      <c r="D636" s="537" t="s">
        <v>205</v>
      </c>
      <c r="E636" s="537" t="s">
        <v>153</v>
      </c>
      <c r="F636" s="537" t="s">
        <v>155</v>
      </c>
      <c r="G636" s="537" t="s">
        <v>199</v>
      </c>
      <c r="H636" s="537"/>
      <c r="I636" s="537"/>
      <c r="J636" s="537"/>
      <c r="K636" s="537"/>
      <c r="L636" s="537"/>
      <c r="M636" s="537"/>
      <c r="N636" s="537"/>
      <c r="O636" s="537"/>
      <c r="P636" s="537"/>
      <c r="Q636" s="537"/>
      <c r="R636" s="537"/>
      <c r="S636" s="537"/>
      <c r="T636" s="537">
        <v>4</v>
      </c>
      <c r="U636" s="537" t="s">
        <v>152</v>
      </c>
    </row>
    <row r="637" spans="1:21" x14ac:dyDescent="0.2">
      <c r="A637" s="537" t="str">
        <f t="shared" si="18"/>
        <v>Moray.2010.Accommodation - Establishments.Serviced Accommodation 3</v>
      </c>
      <c r="B637" s="537" t="s">
        <v>196</v>
      </c>
      <c r="C637" s="537" t="str">
        <f t="shared" si="19"/>
        <v>2010.Accommodation - Establishments.Serviced Accommodation 3</v>
      </c>
      <c r="D637" s="537" t="s">
        <v>205</v>
      </c>
      <c r="E637" s="537" t="s">
        <v>153</v>
      </c>
      <c r="F637" s="537" t="s">
        <v>156</v>
      </c>
      <c r="G637" s="537" t="s">
        <v>200</v>
      </c>
      <c r="H637" s="537"/>
      <c r="I637" s="537"/>
      <c r="J637" s="537"/>
      <c r="K637" s="537"/>
      <c r="L637" s="537"/>
      <c r="M637" s="537"/>
      <c r="N637" s="537"/>
      <c r="O637" s="537"/>
      <c r="P637" s="537"/>
      <c r="Q637" s="537"/>
      <c r="R637" s="537"/>
      <c r="S637" s="537"/>
      <c r="T637" s="537">
        <v>77</v>
      </c>
      <c r="U637" s="537" t="s">
        <v>152</v>
      </c>
    </row>
    <row r="638" spans="1:21" x14ac:dyDescent="0.2">
      <c r="A638" s="537" t="str">
        <f t="shared" si="18"/>
        <v>Moray.2010.Accommodation - Establishments.Serviced Accommodation 4</v>
      </c>
      <c r="B638" s="537" t="s">
        <v>196</v>
      </c>
      <c r="C638" s="537" t="str">
        <f t="shared" si="19"/>
        <v>2010.Accommodation - Establishments.Serviced Accommodation 4</v>
      </c>
      <c r="D638" s="537" t="s">
        <v>205</v>
      </c>
      <c r="E638" s="537" t="s">
        <v>153</v>
      </c>
      <c r="F638" s="537" t="s">
        <v>157</v>
      </c>
      <c r="G638" s="537" t="s">
        <v>201</v>
      </c>
      <c r="H638" s="537"/>
      <c r="I638" s="537"/>
      <c r="J638" s="537"/>
      <c r="K638" s="537"/>
      <c r="L638" s="537"/>
      <c r="M638" s="537"/>
      <c r="N638" s="537"/>
      <c r="O638" s="537"/>
      <c r="P638" s="537"/>
      <c r="Q638" s="537"/>
      <c r="R638" s="537"/>
      <c r="S638" s="537"/>
      <c r="T638" s="537">
        <v>125</v>
      </c>
      <c r="U638" s="537" t="s">
        <v>152</v>
      </c>
    </row>
    <row r="639" spans="1:21" x14ac:dyDescent="0.2">
      <c r="A639" s="537" t="str">
        <f t="shared" si="18"/>
        <v>Moray.2010.Accommodation - Establishments.Serviced Accommodation 5</v>
      </c>
      <c r="B639" s="537" t="s">
        <v>196</v>
      </c>
      <c r="C639" s="537" t="str">
        <f t="shared" si="19"/>
        <v>2010.Accommodation - Establishments.Serviced Accommodation 5</v>
      </c>
      <c r="D639" s="537" t="s">
        <v>205</v>
      </c>
      <c r="E639" s="537" t="s">
        <v>153</v>
      </c>
      <c r="F639" s="537" t="s">
        <v>158</v>
      </c>
      <c r="G639" s="537" t="s">
        <v>194</v>
      </c>
      <c r="H639" s="537"/>
      <c r="I639" s="537"/>
      <c r="J639" s="537"/>
      <c r="K639" s="537"/>
      <c r="L639" s="537"/>
      <c r="M639" s="537"/>
      <c r="N639" s="537"/>
      <c r="O639" s="537"/>
      <c r="P639" s="537"/>
      <c r="Q639" s="537"/>
      <c r="R639" s="537"/>
      <c r="S639" s="537"/>
      <c r="T639" s="537" t="s">
        <v>194</v>
      </c>
      <c r="U639" s="537" t="s">
        <v>152</v>
      </c>
    </row>
    <row r="640" spans="1:21" ht="15" customHeight="1" x14ac:dyDescent="0.2">
      <c r="A640" s="537" t="str">
        <f t="shared" si="18"/>
        <v>Moray.2010.Accommodation - Establishments.Serviced Accommodation Total</v>
      </c>
      <c r="B640" s="537" t="s">
        <v>196</v>
      </c>
      <c r="C640" s="537" t="str">
        <f t="shared" si="19"/>
        <v>2010.Accommodation - Establishments.Serviced Accommodation Total</v>
      </c>
      <c r="D640" s="537" t="s">
        <v>205</v>
      </c>
      <c r="E640" s="537" t="s">
        <v>153</v>
      </c>
      <c r="F640" s="537" t="s">
        <v>164</v>
      </c>
      <c r="G640" s="537" t="s">
        <v>195</v>
      </c>
      <c r="H640" s="537"/>
      <c r="I640" s="537"/>
      <c r="J640" s="537"/>
      <c r="K640" s="537"/>
      <c r="L640" s="537"/>
      <c r="M640" s="537"/>
      <c r="N640" s="537"/>
      <c r="O640" s="537"/>
      <c r="P640" s="537"/>
      <c r="Q640" s="537"/>
      <c r="R640" s="537"/>
      <c r="S640" s="537"/>
      <c r="T640" s="537">
        <v>208</v>
      </c>
      <c r="U640" s="537" t="s">
        <v>152</v>
      </c>
    </row>
    <row r="641" spans="1:21" ht="15" customHeight="1" x14ac:dyDescent="0.2">
      <c r="A641" s="537" t="str">
        <f t="shared" si="18"/>
        <v>Moray.2010.Accommodation - Establishments.Non-Serviced Accommodation 1</v>
      </c>
      <c r="B641" s="537" t="s">
        <v>196</v>
      </c>
      <c r="C641" s="537" t="str">
        <f t="shared" si="19"/>
        <v>2010.Accommodation - Establishments.Non-Serviced Accommodation 1</v>
      </c>
      <c r="D641" s="537" t="s">
        <v>205</v>
      </c>
      <c r="E641" s="537" t="s">
        <v>153</v>
      </c>
      <c r="F641" s="537" t="s">
        <v>159</v>
      </c>
      <c r="G641" s="537" t="s">
        <v>202</v>
      </c>
      <c r="H641" s="537"/>
      <c r="I641" s="537"/>
      <c r="J641" s="537"/>
      <c r="K641" s="537"/>
      <c r="L641" s="537"/>
      <c r="M641" s="537"/>
      <c r="N641" s="537"/>
      <c r="O641" s="537"/>
      <c r="P641" s="537"/>
      <c r="Q641" s="537"/>
      <c r="R641" s="537"/>
      <c r="S641" s="537"/>
      <c r="T641" s="537">
        <v>183</v>
      </c>
      <c r="U641" s="537" t="s">
        <v>152</v>
      </c>
    </row>
    <row r="642" spans="1:21" ht="15" customHeight="1" x14ac:dyDescent="0.2">
      <c r="A642" s="537" t="str">
        <f t="shared" si="18"/>
        <v>Moray.2010.Accommodation - Establishments.Non-Serviced Accommodation 2</v>
      </c>
      <c r="B642" s="537" t="s">
        <v>196</v>
      </c>
      <c r="C642" s="537" t="str">
        <f t="shared" si="19"/>
        <v>2010.Accommodation - Establishments.Non-Serviced Accommodation 2</v>
      </c>
      <c r="D642" s="537" t="s">
        <v>205</v>
      </c>
      <c r="E642" s="537" t="s">
        <v>153</v>
      </c>
      <c r="F642" s="537" t="s">
        <v>160</v>
      </c>
      <c r="G642" s="537" t="s">
        <v>203</v>
      </c>
      <c r="H642" s="537"/>
      <c r="I642" s="537"/>
      <c r="J642" s="537"/>
      <c r="K642" s="537"/>
      <c r="L642" s="537"/>
      <c r="M642" s="537"/>
      <c r="N642" s="537"/>
      <c r="O642" s="537"/>
      <c r="P642" s="537"/>
      <c r="Q642" s="537"/>
      <c r="R642" s="537"/>
      <c r="S642" s="537"/>
      <c r="T642" s="537">
        <v>20</v>
      </c>
      <c r="U642" s="537" t="s">
        <v>152</v>
      </c>
    </row>
    <row r="643" spans="1:21" ht="15" customHeight="1" x14ac:dyDescent="0.2">
      <c r="A643" s="537" t="str">
        <f t="shared" si="18"/>
        <v>Moray.2010.Accommodation - Establishments.Non-Serviced Accommodation 3</v>
      </c>
      <c r="B643" s="537" t="s">
        <v>196</v>
      </c>
      <c r="C643" s="537" t="str">
        <f t="shared" si="19"/>
        <v>2010.Accommodation - Establishments.Non-Serviced Accommodation 3</v>
      </c>
      <c r="D643" s="537" t="s">
        <v>205</v>
      </c>
      <c r="E643" s="537" t="s">
        <v>153</v>
      </c>
      <c r="F643" s="537" t="s">
        <v>161</v>
      </c>
      <c r="G643" s="537" t="s">
        <v>194</v>
      </c>
      <c r="H643" s="537"/>
      <c r="I643" s="537"/>
      <c r="J643" s="537"/>
      <c r="K643" s="537"/>
      <c r="L643" s="537"/>
      <c r="M643" s="537"/>
      <c r="N643" s="537"/>
      <c r="O643" s="537"/>
      <c r="P643" s="537"/>
      <c r="Q643" s="537"/>
      <c r="R643" s="537"/>
      <c r="S643" s="537"/>
      <c r="T643" s="537" t="s">
        <v>194</v>
      </c>
      <c r="U643" s="537" t="s">
        <v>152</v>
      </c>
    </row>
    <row r="644" spans="1:21" ht="15" customHeight="1" x14ac:dyDescent="0.2">
      <c r="A644" s="537" t="str">
        <f t="shared" si="18"/>
        <v>Moray.2010.Accommodation - Establishments.Non-Serviced Accommodation 4</v>
      </c>
      <c r="B644" s="537" t="s">
        <v>196</v>
      </c>
      <c r="C644" s="537" t="str">
        <f t="shared" si="19"/>
        <v>2010.Accommodation - Establishments.Non-Serviced Accommodation 4</v>
      </c>
      <c r="D644" s="537" t="s">
        <v>205</v>
      </c>
      <c r="E644" s="537" t="s">
        <v>153</v>
      </c>
      <c r="F644" s="537" t="s">
        <v>162</v>
      </c>
      <c r="G644" s="537" t="s">
        <v>194</v>
      </c>
      <c r="H644" s="537"/>
      <c r="I644" s="537"/>
      <c r="J644" s="537"/>
      <c r="K644" s="537"/>
      <c r="L644" s="537"/>
      <c r="M644" s="537"/>
      <c r="N644" s="537"/>
      <c r="O644" s="537"/>
      <c r="P644" s="537"/>
      <c r="Q644" s="537"/>
      <c r="R644" s="537"/>
      <c r="S644" s="537"/>
      <c r="T644" s="537" t="s">
        <v>194</v>
      </c>
      <c r="U644" s="537" t="s">
        <v>152</v>
      </c>
    </row>
    <row r="645" spans="1:21" ht="15" customHeight="1" x14ac:dyDescent="0.2">
      <c r="A645" s="537" t="str">
        <f t="shared" si="18"/>
        <v>Moray.2010.Accommodation - Establishments.Non-Serviced Accommodation 5</v>
      </c>
      <c r="B645" s="537" t="s">
        <v>196</v>
      </c>
      <c r="C645" s="537" t="str">
        <f t="shared" si="19"/>
        <v>2010.Accommodation - Establishments.Non-Serviced Accommodation 5</v>
      </c>
      <c r="D645" s="537" t="s">
        <v>205</v>
      </c>
      <c r="E645" s="537" t="s">
        <v>153</v>
      </c>
      <c r="F645" s="537" t="s">
        <v>163</v>
      </c>
      <c r="G645" s="537" t="s">
        <v>194</v>
      </c>
      <c r="H645" s="537"/>
      <c r="I645" s="537"/>
      <c r="J645" s="537"/>
      <c r="K645" s="537"/>
      <c r="L645" s="537"/>
      <c r="M645" s="537"/>
      <c r="N645" s="537"/>
      <c r="O645" s="537"/>
      <c r="P645" s="537"/>
      <c r="Q645" s="537"/>
      <c r="R645" s="537"/>
      <c r="S645" s="537"/>
      <c r="T645" s="537" t="s">
        <v>194</v>
      </c>
      <c r="U645" s="537" t="s">
        <v>152</v>
      </c>
    </row>
    <row r="646" spans="1:21" ht="15" customHeight="1" x14ac:dyDescent="0.2">
      <c r="A646" s="537" t="str">
        <f t="shared" si="18"/>
        <v>Moray.2010.Accommodation - Establishments.Non-Serviced Accommodation Total</v>
      </c>
      <c r="B646" s="537" t="s">
        <v>196</v>
      </c>
      <c r="C646" s="537" t="str">
        <f t="shared" si="19"/>
        <v>2010.Accommodation - Establishments.Non-Serviced Accommodation Total</v>
      </c>
      <c r="D646" s="537" t="s">
        <v>205</v>
      </c>
      <c r="E646" s="537" t="s">
        <v>153</v>
      </c>
      <c r="F646" s="537" t="s">
        <v>165</v>
      </c>
      <c r="G646" s="537" t="s">
        <v>204</v>
      </c>
      <c r="H646" s="537"/>
      <c r="I646" s="537"/>
      <c r="J646" s="537"/>
      <c r="K646" s="537"/>
      <c r="L646" s="537"/>
      <c r="M646" s="537"/>
      <c r="N646" s="537"/>
      <c r="O646" s="537"/>
      <c r="P646" s="537"/>
      <c r="Q646" s="537"/>
      <c r="R646" s="537"/>
      <c r="S646" s="537"/>
      <c r="T646" s="537">
        <v>203</v>
      </c>
      <c r="U646" s="537" t="s">
        <v>152</v>
      </c>
    </row>
    <row r="647" spans="1:21" ht="15" customHeight="1" x14ac:dyDescent="0.2">
      <c r="A647" s="537" t="str">
        <f t="shared" si="18"/>
        <v>Moray.2010.Accommodation - Establishments.All Accommodation Types</v>
      </c>
      <c r="B647" s="537" t="s">
        <v>196</v>
      </c>
      <c r="C647" s="537" t="str">
        <f t="shared" si="19"/>
        <v>2010.Accommodation - Establishments.All Accommodation Types</v>
      </c>
      <c r="D647" s="537" t="s">
        <v>205</v>
      </c>
      <c r="E647" s="537" t="s">
        <v>153</v>
      </c>
      <c r="F647" s="537" t="s">
        <v>166</v>
      </c>
      <c r="G647" s="537" t="s">
        <v>39</v>
      </c>
      <c r="H647" s="537"/>
      <c r="I647" s="537"/>
      <c r="J647" s="537"/>
      <c r="K647" s="537"/>
      <c r="L647" s="537"/>
      <c r="M647" s="537"/>
      <c r="N647" s="537"/>
      <c r="O647" s="537"/>
      <c r="P647" s="537"/>
      <c r="Q647" s="537"/>
      <c r="R647" s="537"/>
      <c r="S647" s="537"/>
      <c r="T647" s="537">
        <v>411</v>
      </c>
      <c r="U647" s="537" t="s">
        <v>152</v>
      </c>
    </row>
    <row r="648" spans="1:21" x14ac:dyDescent="0.2">
      <c r="A648" s="537" t="str">
        <f t="shared" si="18"/>
        <v>Moray.2010.Accommodation - Bed Spaces.Serviced Accommodation 1</v>
      </c>
      <c r="B648" s="537" t="s">
        <v>196</v>
      </c>
      <c r="C648" s="537" t="str">
        <f t="shared" si="19"/>
        <v>2010.Accommodation - Bed Spaces.Serviced Accommodation 1</v>
      </c>
      <c r="D648" s="537" t="s">
        <v>205</v>
      </c>
      <c r="E648" s="537" t="s">
        <v>167</v>
      </c>
      <c r="F648" s="537" t="s">
        <v>154</v>
      </c>
      <c r="G648" s="537" t="s">
        <v>198</v>
      </c>
      <c r="H648" s="537"/>
      <c r="I648" s="537"/>
      <c r="J648" s="537"/>
      <c r="K648" s="537"/>
      <c r="L648" s="537"/>
      <c r="M648" s="537"/>
      <c r="N648" s="537"/>
      <c r="O648" s="537"/>
      <c r="P648" s="537"/>
      <c r="Q648" s="537"/>
      <c r="R648" s="537"/>
      <c r="S648" s="537"/>
      <c r="T648" s="537">
        <v>219</v>
      </c>
      <c r="U648" s="537" t="s">
        <v>59</v>
      </c>
    </row>
    <row r="649" spans="1:21" x14ac:dyDescent="0.2">
      <c r="A649" s="537" t="str">
        <f t="shared" si="18"/>
        <v>Moray.2010.Accommodation - Bed Spaces.Serviced Accommodation 2</v>
      </c>
      <c r="B649" s="537" t="s">
        <v>196</v>
      </c>
      <c r="C649" s="537" t="str">
        <f t="shared" si="19"/>
        <v>2010.Accommodation - Bed Spaces.Serviced Accommodation 2</v>
      </c>
      <c r="D649" s="537" t="s">
        <v>205</v>
      </c>
      <c r="E649" s="537" t="s">
        <v>167</v>
      </c>
      <c r="F649" s="537" t="s">
        <v>155</v>
      </c>
      <c r="G649" s="537" t="s">
        <v>199</v>
      </c>
      <c r="H649" s="537"/>
      <c r="I649" s="537"/>
      <c r="J649" s="537"/>
      <c r="K649" s="537"/>
      <c r="L649" s="537"/>
      <c r="M649" s="537"/>
      <c r="N649" s="537"/>
      <c r="O649" s="537"/>
      <c r="P649" s="537"/>
      <c r="Q649" s="537"/>
      <c r="R649" s="537"/>
      <c r="S649" s="537"/>
      <c r="T649" s="537">
        <v>275</v>
      </c>
      <c r="U649" s="537" t="s">
        <v>59</v>
      </c>
    </row>
    <row r="650" spans="1:21" x14ac:dyDescent="0.2">
      <c r="A650" s="537" t="str">
        <f t="shared" si="18"/>
        <v>Moray.2010.Accommodation - Bed Spaces.Serviced Accommodation 3</v>
      </c>
      <c r="B650" s="537" t="s">
        <v>196</v>
      </c>
      <c r="C650" s="537" t="str">
        <f t="shared" si="19"/>
        <v>2010.Accommodation - Bed Spaces.Serviced Accommodation 3</v>
      </c>
      <c r="D650" s="537" t="s">
        <v>205</v>
      </c>
      <c r="E650" s="537" t="s">
        <v>167</v>
      </c>
      <c r="F650" s="537" t="s">
        <v>156</v>
      </c>
      <c r="G650" s="537" t="s">
        <v>200</v>
      </c>
      <c r="H650" s="537"/>
      <c r="I650" s="537"/>
      <c r="J650" s="537"/>
      <c r="K650" s="537"/>
      <c r="L650" s="537"/>
      <c r="M650" s="537"/>
      <c r="N650" s="537"/>
      <c r="O650" s="537"/>
      <c r="P650" s="537"/>
      <c r="Q650" s="537"/>
      <c r="R650" s="537"/>
      <c r="S650" s="537"/>
      <c r="T650" s="537">
        <v>1209</v>
      </c>
      <c r="U650" s="537" t="s">
        <v>59</v>
      </c>
    </row>
    <row r="651" spans="1:21" x14ac:dyDescent="0.2">
      <c r="A651" s="537" t="str">
        <f t="shared" si="18"/>
        <v>Moray.2010.Accommodation - Bed Spaces.Serviced Accommodation 4</v>
      </c>
      <c r="B651" s="537" t="s">
        <v>196</v>
      </c>
      <c r="C651" s="537" t="str">
        <f t="shared" si="19"/>
        <v>2010.Accommodation - Bed Spaces.Serviced Accommodation 4</v>
      </c>
      <c r="D651" s="537" t="s">
        <v>205</v>
      </c>
      <c r="E651" s="537" t="s">
        <v>167</v>
      </c>
      <c r="F651" s="537" t="s">
        <v>157</v>
      </c>
      <c r="G651" s="537" t="s">
        <v>201</v>
      </c>
      <c r="H651" s="537"/>
      <c r="I651" s="537"/>
      <c r="J651" s="537"/>
      <c r="K651" s="537"/>
      <c r="L651" s="537"/>
      <c r="M651" s="537"/>
      <c r="N651" s="537"/>
      <c r="O651" s="537"/>
      <c r="P651" s="537"/>
      <c r="Q651" s="537"/>
      <c r="R651" s="537"/>
      <c r="S651" s="537"/>
      <c r="T651" s="537">
        <v>938</v>
      </c>
      <c r="U651" s="537" t="s">
        <v>59</v>
      </c>
    </row>
    <row r="652" spans="1:21" x14ac:dyDescent="0.2">
      <c r="A652" s="537" t="str">
        <f t="shared" si="18"/>
        <v>Moray.2010.Accommodation - Bed Spaces.Serviced Accommodation 5</v>
      </c>
      <c r="B652" s="537" t="s">
        <v>196</v>
      </c>
      <c r="C652" s="537" t="str">
        <f t="shared" si="19"/>
        <v>2010.Accommodation - Bed Spaces.Serviced Accommodation 5</v>
      </c>
      <c r="D652" s="537" t="s">
        <v>205</v>
      </c>
      <c r="E652" s="537" t="s">
        <v>167</v>
      </c>
      <c r="F652" s="537" t="s">
        <v>158</v>
      </c>
      <c r="G652" s="537" t="s">
        <v>194</v>
      </c>
      <c r="H652" s="537"/>
      <c r="I652" s="537"/>
      <c r="J652" s="537"/>
      <c r="K652" s="537"/>
      <c r="L652" s="537"/>
      <c r="M652" s="537"/>
      <c r="N652" s="537"/>
      <c r="O652" s="537"/>
      <c r="P652" s="537"/>
      <c r="Q652" s="537"/>
      <c r="R652" s="537"/>
      <c r="S652" s="537"/>
      <c r="T652" s="537" t="s">
        <v>194</v>
      </c>
      <c r="U652" s="537" t="s">
        <v>59</v>
      </c>
    </row>
    <row r="653" spans="1:21" x14ac:dyDescent="0.2">
      <c r="A653" s="537" t="str">
        <f t="shared" si="18"/>
        <v>Moray.2010.Accommodation - Bed Spaces.Serviced Accommodation Total</v>
      </c>
      <c r="B653" s="537" t="s">
        <v>196</v>
      </c>
      <c r="C653" s="537" t="str">
        <f t="shared" si="19"/>
        <v>2010.Accommodation - Bed Spaces.Serviced Accommodation Total</v>
      </c>
      <c r="D653" s="537" t="s">
        <v>205</v>
      </c>
      <c r="E653" s="537" t="s">
        <v>167</v>
      </c>
      <c r="F653" s="537" t="s">
        <v>164</v>
      </c>
      <c r="G653" s="537" t="s">
        <v>195</v>
      </c>
      <c r="H653" s="537"/>
      <c r="I653" s="537"/>
      <c r="J653" s="537"/>
      <c r="K653" s="537"/>
      <c r="L653" s="537"/>
      <c r="M653" s="537"/>
      <c r="N653" s="537"/>
      <c r="O653" s="537"/>
      <c r="P653" s="537"/>
      <c r="Q653" s="537"/>
      <c r="R653" s="537"/>
      <c r="S653" s="537"/>
      <c r="T653" s="537">
        <v>2641</v>
      </c>
      <c r="U653" s="537" t="s">
        <v>59</v>
      </c>
    </row>
    <row r="654" spans="1:21" x14ac:dyDescent="0.2">
      <c r="A654" s="537" t="str">
        <f t="shared" si="18"/>
        <v>Moray.2010.Accommodation - Bed Spaces.Non-Serviced Accommodation 1</v>
      </c>
      <c r="B654" s="537" t="s">
        <v>196</v>
      </c>
      <c r="C654" s="537" t="str">
        <f t="shared" si="19"/>
        <v>2010.Accommodation - Bed Spaces.Non-Serviced Accommodation 1</v>
      </c>
      <c r="D654" s="537" t="s">
        <v>205</v>
      </c>
      <c r="E654" s="537" t="s">
        <v>167</v>
      </c>
      <c r="F654" s="537" t="s">
        <v>159</v>
      </c>
      <c r="G654" s="537" t="s">
        <v>202</v>
      </c>
      <c r="H654" s="537"/>
      <c r="I654" s="537"/>
      <c r="J654" s="537"/>
      <c r="K654" s="537"/>
      <c r="L654" s="537"/>
      <c r="M654" s="537"/>
      <c r="N654" s="537"/>
      <c r="O654" s="537"/>
      <c r="P654" s="537"/>
      <c r="Q654" s="537"/>
      <c r="R654" s="537"/>
      <c r="S654" s="537"/>
      <c r="T654" s="537">
        <v>2038</v>
      </c>
      <c r="U654" s="537" t="s">
        <v>59</v>
      </c>
    </row>
    <row r="655" spans="1:21" x14ac:dyDescent="0.2">
      <c r="A655" s="537" t="str">
        <f t="shared" si="18"/>
        <v>Moray.2010.Accommodation - Bed Spaces.Non-Serviced Accommodation 2</v>
      </c>
      <c r="B655" s="537" t="s">
        <v>196</v>
      </c>
      <c r="C655" s="537" t="str">
        <f t="shared" si="19"/>
        <v>2010.Accommodation - Bed Spaces.Non-Serviced Accommodation 2</v>
      </c>
      <c r="D655" s="537" t="s">
        <v>205</v>
      </c>
      <c r="E655" s="537" t="s">
        <v>167</v>
      </c>
      <c r="F655" s="537" t="s">
        <v>160</v>
      </c>
      <c r="G655" s="537" t="s">
        <v>203</v>
      </c>
      <c r="H655" s="537"/>
      <c r="I655" s="537"/>
      <c r="J655" s="537"/>
      <c r="K655" s="537"/>
      <c r="L655" s="537"/>
      <c r="M655" s="537"/>
      <c r="N655" s="537"/>
      <c r="O655" s="537"/>
      <c r="P655" s="537"/>
      <c r="Q655" s="537"/>
      <c r="R655" s="537"/>
      <c r="S655" s="537"/>
      <c r="T655" s="537">
        <v>2211</v>
      </c>
      <c r="U655" s="537" t="s">
        <v>59</v>
      </c>
    </row>
    <row r="656" spans="1:21" x14ac:dyDescent="0.2">
      <c r="A656" s="537" t="str">
        <f t="shared" si="18"/>
        <v>Moray.2010.Accommodation - Bed Spaces.Non-Serviced Accommodation 3</v>
      </c>
      <c r="B656" s="537" t="s">
        <v>196</v>
      </c>
      <c r="C656" s="537" t="str">
        <f t="shared" si="19"/>
        <v>2010.Accommodation - Bed Spaces.Non-Serviced Accommodation 3</v>
      </c>
      <c r="D656" s="537" t="s">
        <v>205</v>
      </c>
      <c r="E656" s="537" t="s">
        <v>167</v>
      </c>
      <c r="F656" s="537" t="s">
        <v>161</v>
      </c>
      <c r="G656" s="537" t="s">
        <v>194</v>
      </c>
      <c r="H656" s="537"/>
      <c r="I656" s="537"/>
      <c r="J656" s="537"/>
      <c r="K656" s="537"/>
      <c r="L656" s="537"/>
      <c r="M656" s="537"/>
      <c r="N656" s="537"/>
      <c r="O656" s="537"/>
      <c r="P656" s="537"/>
      <c r="Q656" s="537"/>
      <c r="R656" s="537"/>
      <c r="S656" s="537"/>
      <c r="T656" s="537" t="s">
        <v>194</v>
      </c>
      <c r="U656" s="537" t="s">
        <v>59</v>
      </c>
    </row>
    <row r="657" spans="1:21" x14ac:dyDescent="0.2">
      <c r="A657" s="537" t="str">
        <f t="shared" si="18"/>
        <v>Moray.2010.Accommodation - Bed Spaces.Non-Serviced Accommodation 4</v>
      </c>
      <c r="B657" s="537" t="s">
        <v>196</v>
      </c>
      <c r="C657" s="537" t="str">
        <f t="shared" si="19"/>
        <v>2010.Accommodation - Bed Spaces.Non-Serviced Accommodation 4</v>
      </c>
      <c r="D657" s="537" t="s">
        <v>205</v>
      </c>
      <c r="E657" s="537" t="s">
        <v>167</v>
      </c>
      <c r="F657" s="537" t="s">
        <v>162</v>
      </c>
      <c r="G657" s="537" t="s">
        <v>194</v>
      </c>
      <c r="H657" s="537"/>
      <c r="I657" s="537"/>
      <c r="J657" s="537"/>
      <c r="K657" s="537"/>
      <c r="L657" s="537"/>
      <c r="M657" s="537"/>
      <c r="N657" s="537"/>
      <c r="O657" s="537"/>
      <c r="P657" s="537"/>
      <c r="Q657" s="537"/>
      <c r="R657" s="537"/>
      <c r="S657" s="537"/>
      <c r="T657" s="537" t="s">
        <v>194</v>
      </c>
      <c r="U657" s="537" t="s">
        <v>59</v>
      </c>
    </row>
    <row r="658" spans="1:21" x14ac:dyDescent="0.2">
      <c r="A658" s="537" t="str">
        <f t="shared" si="18"/>
        <v>Moray.2010.Accommodation - Bed Spaces.Non-Serviced Accommodation 5</v>
      </c>
      <c r="B658" s="537" t="s">
        <v>196</v>
      </c>
      <c r="C658" s="537" t="str">
        <f t="shared" si="19"/>
        <v>2010.Accommodation - Bed Spaces.Non-Serviced Accommodation 5</v>
      </c>
      <c r="D658" s="537" t="s">
        <v>205</v>
      </c>
      <c r="E658" s="537" t="s">
        <v>167</v>
      </c>
      <c r="F658" s="537" t="s">
        <v>163</v>
      </c>
      <c r="G658" s="537" t="s">
        <v>194</v>
      </c>
      <c r="H658" s="537"/>
      <c r="I658" s="537"/>
      <c r="J658" s="537"/>
      <c r="K658" s="537"/>
      <c r="L658" s="537"/>
      <c r="M658" s="537"/>
      <c r="N658" s="537"/>
      <c r="O658" s="537"/>
      <c r="P658" s="537"/>
      <c r="Q658" s="537"/>
      <c r="R658" s="537"/>
      <c r="S658" s="537"/>
      <c r="T658" s="537" t="s">
        <v>194</v>
      </c>
      <c r="U658" s="537" t="s">
        <v>59</v>
      </c>
    </row>
    <row r="659" spans="1:21" x14ac:dyDescent="0.2">
      <c r="A659" s="537" t="str">
        <f t="shared" si="18"/>
        <v>Moray.2010.Accommodation - Bed Spaces.Non-Serviced Accommodation Total</v>
      </c>
      <c r="B659" s="537" t="s">
        <v>196</v>
      </c>
      <c r="C659" s="537" t="str">
        <f t="shared" si="19"/>
        <v>2010.Accommodation - Bed Spaces.Non-Serviced Accommodation Total</v>
      </c>
      <c r="D659" s="537" t="s">
        <v>205</v>
      </c>
      <c r="E659" s="537" t="s">
        <v>167</v>
      </c>
      <c r="F659" s="537" t="s">
        <v>165</v>
      </c>
      <c r="G659" s="537" t="s">
        <v>204</v>
      </c>
      <c r="H659" s="537"/>
      <c r="I659" s="537"/>
      <c r="J659" s="537"/>
      <c r="K659" s="537"/>
      <c r="L659" s="537"/>
      <c r="M659" s="537"/>
      <c r="N659" s="537"/>
      <c r="O659" s="537"/>
      <c r="P659" s="537"/>
      <c r="Q659" s="537"/>
      <c r="R659" s="537"/>
      <c r="S659" s="537"/>
      <c r="T659" s="537">
        <v>4249</v>
      </c>
      <c r="U659" s="537" t="s">
        <v>59</v>
      </c>
    </row>
    <row r="660" spans="1:21" x14ac:dyDescent="0.2">
      <c r="A660" s="537" t="str">
        <f t="shared" si="18"/>
        <v>Moray.2010.Accommodation - Bed Spaces.All Accommodation Types</v>
      </c>
      <c r="B660" s="537" t="s">
        <v>196</v>
      </c>
      <c r="C660" s="537" t="str">
        <f t="shared" si="19"/>
        <v>2010.Accommodation - Bed Spaces.All Accommodation Types</v>
      </c>
      <c r="D660" s="537" t="s">
        <v>205</v>
      </c>
      <c r="E660" s="537" t="s">
        <v>167</v>
      </c>
      <c r="F660" s="537" t="s">
        <v>166</v>
      </c>
      <c r="G660" s="537" t="s">
        <v>39</v>
      </c>
      <c r="H660" s="537"/>
      <c r="I660" s="537"/>
      <c r="J660" s="537"/>
      <c r="K660" s="537"/>
      <c r="L660" s="537"/>
      <c r="M660" s="537"/>
      <c r="N660" s="537"/>
      <c r="O660" s="537"/>
      <c r="P660" s="537"/>
      <c r="Q660" s="537"/>
      <c r="R660" s="537"/>
      <c r="S660" s="537"/>
      <c r="T660" s="537">
        <v>6890</v>
      </c>
      <c r="U660" s="537" t="s">
        <v>59</v>
      </c>
    </row>
    <row r="661" spans="1:21" x14ac:dyDescent="0.2">
      <c r="A661" s="537" t="str">
        <f t="shared" si="18"/>
        <v>Moray.2011.Accommodation - Establishments.Serviced Accommodation 1</v>
      </c>
      <c r="B661" s="537" t="s">
        <v>196</v>
      </c>
      <c r="C661" s="537" t="str">
        <f t="shared" si="19"/>
        <v>2011.Accommodation - Establishments.Serviced Accommodation 1</v>
      </c>
      <c r="D661" s="537" t="s">
        <v>206</v>
      </c>
      <c r="E661" s="537" t="s">
        <v>153</v>
      </c>
      <c r="F661" s="537" t="s">
        <v>154</v>
      </c>
      <c r="G661" s="537" t="s">
        <v>198</v>
      </c>
      <c r="H661" s="537"/>
      <c r="I661" s="537"/>
      <c r="J661" s="537"/>
      <c r="K661" s="537"/>
      <c r="L661" s="537"/>
      <c r="M661" s="537"/>
      <c r="N661" s="537"/>
      <c r="O661" s="537"/>
      <c r="P661" s="537"/>
      <c r="Q661" s="537"/>
      <c r="R661" s="537"/>
      <c r="S661" s="537"/>
      <c r="T661" s="537">
        <v>2</v>
      </c>
      <c r="U661" s="537" t="s">
        <v>152</v>
      </c>
    </row>
    <row r="662" spans="1:21" x14ac:dyDescent="0.2">
      <c r="A662" s="537" t="str">
        <f t="shared" si="18"/>
        <v>Moray.2011.Accommodation - Establishments.Serviced Accommodation 2</v>
      </c>
      <c r="B662" s="537" t="s">
        <v>196</v>
      </c>
      <c r="C662" s="537" t="str">
        <f t="shared" si="19"/>
        <v>2011.Accommodation - Establishments.Serviced Accommodation 2</v>
      </c>
      <c r="D662" s="537" t="s">
        <v>206</v>
      </c>
      <c r="E662" s="537" t="s">
        <v>153</v>
      </c>
      <c r="F662" s="537" t="s">
        <v>155</v>
      </c>
      <c r="G662" s="537" t="s">
        <v>199</v>
      </c>
      <c r="H662" s="537"/>
      <c r="I662" s="537"/>
      <c r="J662" s="537"/>
      <c r="K662" s="537"/>
      <c r="L662" s="537"/>
      <c r="M662" s="537"/>
      <c r="N662" s="537"/>
      <c r="O662" s="537"/>
      <c r="P662" s="537"/>
      <c r="Q662" s="537"/>
      <c r="R662" s="537"/>
      <c r="S662" s="537"/>
      <c r="T662" s="537">
        <v>4</v>
      </c>
      <c r="U662" s="537" t="s">
        <v>152</v>
      </c>
    </row>
    <row r="663" spans="1:21" x14ac:dyDescent="0.2">
      <c r="A663" s="537" t="str">
        <f t="shared" si="18"/>
        <v>Moray.2011.Accommodation - Establishments.Serviced Accommodation 3</v>
      </c>
      <c r="B663" s="537" t="s">
        <v>196</v>
      </c>
      <c r="C663" s="537" t="str">
        <f t="shared" si="19"/>
        <v>2011.Accommodation - Establishments.Serviced Accommodation 3</v>
      </c>
      <c r="D663" s="537" t="s">
        <v>206</v>
      </c>
      <c r="E663" s="537" t="s">
        <v>153</v>
      </c>
      <c r="F663" s="537" t="s">
        <v>156</v>
      </c>
      <c r="G663" s="537" t="s">
        <v>200</v>
      </c>
      <c r="H663" s="537"/>
      <c r="I663" s="537"/>
      <c r="J663" s="537"/>
      <c r="K663" s="537"/>
      <c r="L663" s="537"/>
      <c r="M663" s="537"/>
      <c r="N663" s="537"/>
      <c r="O663" s="537"/>
      <c r="P663" s="537"/>
      <c r="Q663" s="537"/>
      <c r="R663" s="537"/>
      <c r="S663" s="537"/>
      <c r="T663" s="537">
        <v>77</v>
      </c>
      <c r="U663" s="537" t="s">
        <v>152</v>
      </c>
    </row>
    <row r="664" spans="1:21" x14ac:dyDescent="0.2">
      <c r="A664" s="537" t="str">
        <f t="shared" si="18"/>
        <v>Moray.2011.Accommodation - Establishments.Serviced Accommodation 4</v>
      </c>
      <c r="B664" s="537" t="s">
        <v>196</v>
      </c>
      <c r="C664" s="537" t="str">
        <f t="shared" si="19"/>
        <v>2011.Accommodation - Establishments.Serviced Accommodation 4</v>
      </c>
      <c r="D664" s="537" t="s">
        <v>206</v>
      </c>
      <c r="E664" s="537" t="s">
        <v>153</v>
      </c>
      <c r="F664" s="537" t="s">
        <v>157</v>
      </c>
      <c r="G664" s="537" t="s">
        <v>201</v>
      </c>
      <c r="H664" s="537"/>
      <c r="I664" s="537"/>
      <c r="J664" s="537"/>
      <c r="K664" s="537"/>
      <c r="L664" s="537"/>
      <c r="M664" s="537"/>
      <c r="N664" s="537"/>
      <c r="O664" s="537"/>
      <c r="P664" s="537"/>
      <c r="Q664" s="537"/>
      <c r="R664" s="537"/>
      <c r="S664" s="537"/>
      <c r="T664" s="537">
        <v>127.99999999999999</v>
      </c>
      <c r="U664" s="537" t="s">
        <v>152</v>
      </c>
    </row>
    <row r="665" spans="1:21" x14ac:dyDescent="0.2">
      <c r="A665" s="537" t="str">
        <f t="shared" si="18"/>
        <v>Moray.2011.Accommodation - Establishments.Serviced Accommodation 5</v>
      </c>
      <c r="B665" s="537" t="s">
        <v>196</v>
      </c>
      <c r="C665" s="537" t="str">
        <f t="shared" si="19"/>
        <v>2011.Accommodation - Establishments.Serviced Accommodation 5</v>
      </c>
      <c r="D665" s="537" t="s">
        <v>206</v>
      </c>
      <c r="E665" s="537" t="s">
        <v>153</v>
      </c>
      <c r="F665" s="537" t="s">
        <v>158</v>
      </c>
      <c r="G665" s="537" t="s">
        <v>194</v>
      </c>
      <c r="H665" s="537"/>
      <c r="I665" s="537"/>
      <c r="J665" s="537"/>
      <c r="K665" s="537"/>
      <c r="L665" s="537"/>
      <c r="M665" s="537"/>
      <c r="N665" s="537"/>
      <c r="O665" s="537"/>
      <c r="P665" s="537"/>
      <c r="Q665" s="537"/>
      <c r="R665" s="537"/>
      <c r="S665" s="537"/>
      <c r="T665" s="537" t="s">
        <v>194</v>
      </c>
      <c r="U665" s="537" t="s">
        <v>152</v>
      </c>
    </row>
    <row r="666" spans="1:21" ht="15" customHeight="1" x14ac:dyDescent="0.2">
      <c r="A666" s="537" t="str">
        <f t="shared" si="18"/>
        <v>Moray.2011.Accommodation - Establishments.Serviced Accommodation Total</v>
      </c>
      <c r="B666" s="537" t="s">
        <v>196</v>
      </c>
      <c r="C666" s="537" t="str">
        <f t="shared" si="19"/>
        <v>2011.Accommodation - Establishments.Serviced Accommodation Total</v>
      </c>
      <c r="D666" s="537" t="s">
        <v>206</v>
      </c>
      <c r="E666" s="537" t="s">
        <v>153</v>
      </c>
      <c r="F666" s="537" t="s">
        <v>164</v>
      </c>
      <c r="G666" s="537" t="s">
        <v>195</v>
      </c>
      <c r="H666" s="537"/>
      <c r="I666" s="537"/>
      <c r="J666" s="537"/>
      <c r="K666" s="537"/>
      <c r="L666" s="537"/>
      <c r="M666" s="537"/>
      <c r="N666" s="537"/>
      <c r="O666" s="537"/>
      <c r="P666" s="537"/>
      <c r="Q666" s="537"/>
      <c r="R666" s="537"/>
      <c r="S666" s="537"/>
      <c r="T666" s="537">
        <v>211</v>
      </c>
      <c r="U666" s="537" t="s">
        <v>152</v>
      </c>
    </row>
    <row r="667" spans="1:21" ht="15" customHeight="1" x14ac:dyDescent="0.2">
      <c r="A667" s="537" t="str">
        <f t="shared" si="18"/>
        <v>Moray.2011.Accommodation - Establishments.Non-Serviced Accommodation 1</v>
      </c>
      <c r="B667" s="537" t="s">
        <v>196</v>
      </c>
      <c r="C667" s="537" t="str">
        <f t="shared" si="19"/>
        <v>2011.Accommodation - Establishments.Non-Serviced Accommodation 1</v>
      </c>
      <c r="D667" s="537" t="s">
        <v>206</v>
      </c>
      <c r="E667" s="537" t="s">
        <v>153</v>
      </c>
      <c r="F667" s="537" t="s">
        <v>159</v>
      </c>
      <c r="G667" s="537" t="s">
        <v>202</v>
      </c>
      <c r="H667" s="537"/>
      <c r="I667" s="537"/>
      <c r="J667" s="537"/>
      <c r="K667" s="537"/>
      <c r="L667" s="537"/>
      <c r="M667" s="537"/>
      <c r="N667" s="537"/>
      <c r="O667" s="537"/>
      <c r="P667" s="537"/>
      <c r="Q667" s="537"/>
      <c r="R667" s="537"/>
      <c r="S667" s="537"/>
      <c r="T667" s="537">
        <v>176</v>
      </c>
      <c r="U667" s="537" t="s">
        <v>152</v>
      </c>
    </row>
    <row r="668" spans="1:21" ht="15" customHeight="1" x14ac:dyDescent="0.2">
      <c r="A668" s="537" t="str">
        <f t="shared" si="18"/>
        <v>Moray.2011.Accommodation - Establishments.Non-Serviced Accommodation 2</v>
      </c>
      <c r="B668" s="537" t="s">
        <v>196</v>
      </c>
      <c r="C668" s="537" t="str">
        <f t="shared" si="19"/>
        <v>2011.Accommodation - Establishments.Non-Serviced Accommodation 2</v>
      </c>
      <c r="D668" s="537" t="s">
        <v>206</v>
      </c>
      <c r="E668" s="537" t="s">
        <v>153</v>
      </c>
      <c r="F668" s="537" t="s">
        <v>160</v>
      </c>
      <c r="G668" s="537" t="s">
        <v>203</v>
      </c>
      <c r="H668" s="537"/>
      <c r="I668" s="537"/>
      <c r="J668" s="537"/>
      <c r="K668" s="537"/>
      <c r="L668" s="537"/>
      <c r="M668" s="537"/>
      <c r="N668" s="537"/>
      <c r="O668" s="537"/>
      <c r="P668" s="537"/>
      <c r="Q668" s="537"/>
      <c r="R668" s="537"/>
      <c r="S668" s="537"/>
      <c r="T668" s="537">
        <v>19</v>
      </c>
      <c r="U668" s="537" t="s">
        <v>152</v>
      </c>
    </row>
    <row r="669" spans="1:21" ht="15" customHeight="1" x14ac:dyDescent="0.2">
      <c r="A669" s="537" t="str">
        <f t="shared" si="18"/>
        <v>Moray.2011.Accommodation - Establishments.Non-Serviced Accommodation 3</v>
      </c>
      <c r="B669" s="537" t="s">
        <v>196</v>
      </c>
      <c r="C669" s="537" t="str">
        <f t="shared" si="19"/>
        <v>2011.Accommodation - Establishments.Non-Serviced Accommodation 3</v>
      </c>
      <c r="D669" s="537" t="s">
        <v>206</v>
      </c>
      <c r="E669" s="537" t="s">
        <v>153</v>
      </c>
      <c r="F669" s="537" t="s">
        <v>161</v>
      </c>
      <c r="G669" s="537" t="s">
        <v>194</v>
      </c>
      <c r="H669" s="537"/>
      <c r="I669" s="537"/>
      <c r="J669" s="537"/>
      <c r="K669" s="537"/>
      <c r="L669" s="537"/>
      <c r="M669" s="537"/>
      <c r="N669" s="537"/>
      <c r="O669" s="537"/>
      <c r="P669" s="537"/>
      <c r="Q669" s="537"/>
      <c r="R669" s="537"/>
      <c r="S669" s="537"/>
      <c r="T669" s="537" t="s">
        <v>194</v>
      </c>
      <c r="U669" s="537" t="s">
        <v>152</v>
      </c>
    </row>
    <row r="670" spans="1:21" ht="15" customHeight="1" x14ac:dyDescent="0.2">
      <c r="A670" s="537" t="str">
        <f t="shared" si="18"/>
        <v>Moray.2011.Accommodation - Establishments.Non-Serviced Accommodation 4</v>
      </c>
      <c r="B670" s="537" t="s">
        <v>196</v>
      </c>
      <c r="C670" s="537" t="str">
        <f t="shared" si="19"/>
        <v>2011.Accommodation - Establishments.Non-Serviced Accommodation 4</v>
      </c>
      <c r="D670" s="537" t="s">
        <v>206</v>
      </c>
      <c r="E670" s="537" t="s">
        <v>153</v>
      </c>
      <c r="F670" s="537" t="s">
        <v>162</v>
      </c>
      <c r="G670" s="537" t="s">
        <v>194</v>
      </c>
      <c r="H670" s="537"/>
      <c r="I670" s="537"/>
      <c r="J670" s="537"/>
      <c r="K670" s="537"/>
      <c r="L670" s="537"/>
      <c r="M670" s="537"/>
      <c r="N670" s="537"/>
      <c r="O670" s="537"/>
      <c r="P670" s="537"/>
      <c r="Q670" s="537"/>
      <c r="R670" s="537"/>
      <c r="S670" s="537"/>
      <c r="T670" s="537" t="s">
        <v>194</v>
      </c>
      <c r="U670" s="537" t="s">
        <v>152</v>
      </c>
    </row>
    <row r="671" spans="1:21" ht="15" customHeight="1" x14ac:dyDescent="0.2">
      <c r="A671" s="537" t="str">
        <f t="shared" si="18"/>
        <v>Moray.2011.Accommodation - Establishments.Non-Serviced Accommodation 5</v>
      </c>
      <c r="B671" s="537" t="s">
        <v>196</v>
      </c>
      <c r="C671" s="537" t="str">
        <f t="shared" si="19"/>
        <v>2011.Accommodation - Establishments.Non-Serviced Accommodation 5</v>
      </c>
      <c r="D671" s="537" t="s">
        <v>206</v>
      </c>
      <c r="E671" s="537" t="s">
        <v>153</v>
      </c>
      <c r="F671" s="537" t="s">
        <v>163</v>
      </c>
      <c r="G671" s="537" t="s">
        <v>194</v>
      </c>
      <c r="H671" s="537"/>
      <c r="I671" s="537"/>
      <c r="J671" s="537"/>
      <c r="K671" s="537"/>
      <c r="L671" s="537"/>
      <c r="M671" s="537"/>
      <c r="N671" s="537"/>
      <c r="O671" s="537"/>
      <c r="P671" s="537"/>
      <c r="Q671" s="537"/>
      <c r="R671" s="537"/>
      <c r="S671" s="537"/>
      <c r="T671" s="537" t="s">
        <v>194</v>
      </c>
      <c r="U671" s="537" t="s">
        <v>152</v>
      </c>
    </row>
    <row r="672" spans="1:21" ht="15" customHeight="1" x14ac:dyDescent="0.2">
      <c r="A672" s="537" t="str">
        <f t="shared" si="18"/>
        <v>Moray.2011.Accommodation - Establishments.Non-Serviced Accommodation Total</v>
      </c>
      <c r="B672" s="537" t="s">
        <v>196</v>
      </c>
      <c r="C672" s="537" t="str">
        <f t="shared" si="19"/>
        <v>2011.Accommodation - Establishments.Non-Serviced Accommodation Total</v>
      </c>
      <c r="D672" s="537" t="s">
        <v>206</v>
      </c>
      <c r="E672" s="537" t="s">
        <v>153</v>
      </c>
      <c r="F672" s="537" t="s">
        <v>165</v>
      </c>
      <c r="G672" s="537" t="s">
        <v>204</v>
      </c>
      <c r="H672" s="537"/>
      <c r="I672" s="537"/>
      <c r="J672" s="537"/>
      <c r="K672" s="537"/>
      <c r="L672" s="537"/>
      <c r="M672" s="537"/>
      <c r="N672" s="537"/>
      <c r="O672" s="537"/>
      <c r="P672" s="537"/>
      <c r="Q672" s="537"/>
      <c r="R672" s="537"/>
      <c r="S672" s="537"/>
      <c r="T672" s="537">
        <v>195</v>
      </c>
      <c r="U672" s="537" t="s">
        <v>152</v>
      </c>
    </row>
    <row r="673" spans="1:21" ht="15" customHeight="1" x14ac:dyDescent="0.2">
      <c r="A673" s="537" t="str">
        <f t="shared" si="18"/>
        <v>Moray.2011.Accommodation - Establishments.All Accommodation Types</v>
      </c>
      <c r="B673" s="537" t="s">
        <v>196</v>
      </c>
      <c r="C673" s="537" t="str">
        <f t="shared" si="19"/>
        <v>2011.Accommodation - Establishments.All Accommodation Types</v>
      </c>
      <c r="D673" s="537" t="s">
        <v>206</v>
      </c>
      <c r="E673" s="537" t="s">
        <v>153</v>
      </c>
      <c r="F673" s="537" t="s">
        <v>166</v>
      </c>
      <c r="G673" s="537" t="s">
        <v>39</v>
      </c>
      <c r="H673" s="537"/>
      <c r="I673" s="537"/>
      <c r="J673" s="537"/>
      <c r="K673" s="537"/>
      <c r="L673" s="537"/>
      <c r="M673" s="537"/>
      <c r="N673" s="537"/>
      <c r="O673" s="537"/>
      <c r="P673" s="537"/>
      <c r="Q673" s="537"/>
      <c r="R673" s="537"/>
      <c r="S673" s="537"/>
      <c r="T673" s="537">
        <v>406</v>
      </c>
      <c r="U673" s="537" t="s">
        <v>152</v>
      </c>
    </row>
    <row r="674" spans="1:21" x14ac:dyDescent="0.2">
      <c r="A674" s="537" t="str">
        <f t="shared" si="18"/>
        <v>Moray.2011.Accommodation - Bed Spaces.Serviced Accommodation 1</v>
      </c>
      <c r="B674" s="537" t="s">
        <v>196</v>
      </c>
      <c r="C674" s="537" t="str">
        <f t="shared" si="19"/>
        <v>2011.Accommodation - Bed Spaces.Serviced Accommodation 1</v>
      </c>
      <c r="D674" s="537" t="s">
        <v>206</v>
      </c>
      <c r="E674" s="537" t="s">
        <v>167</v>
      </c>
      <c r="F674" s="537" t="s">
        <v>154</v>
      </c>
      <c r="G674" s="537" t="s">
        <v>198</v>
      </c>
      <c r="H674" s="537"/>
      <c r="I674" s="537"/>
      <c r="J674" s="537"/>
      <c r="K674" s="537"/>
      <c r="L674" s="537"/>
      <c r="M674" s="537"/>
      <c r="N674" s="537"/>
      <c r="O674" s="537"/>
      <c r="P674" s="537"/>
      <c r="Q674" s="537"/>
      <c r="R674" s="537"/>
      <c r="S674" s="537"/>
      <c r="T674" s="537">
        <v>218</v>
      </c>
      <c r="U674" s="537" t="s">
        <v>59</v>
      </c>
    </row>
    <row r="675" spans="1:21" x14ac:dyDescent="0.2">
      <c r="A675" s="537" t="str">
        <f t="shared" si="18"/>
        <v>Moray.2011.Accommodation - Bed Spaces.Serviced Accommodation 2</v>
      </c>
      <c r="B675" s="537" t="s">
        <v>196</v>
      </c>
      <c r="C675" s="537" t="str">
        <f t="shared" si="19"/>
        <v>2011.Accommodation - Bed Spaces.Serviced Accommodation 2</v>
      </c>
      <c r="D675" s="537" t="s">
        <v>206</v>
      </c>
      <c r="E675" s="537" t="s">
        <v>167</v>
      </c>
      <c r="F675" s="537" t="s">
        <v>155</v>
      </c>
      <c r="G675" s="537" t="s">
        <v>199</v>
      </c>
      <c r="H675" s="537"/>
      <c r="I675" s="537"/>
      <c r="J675" s="537"/>
      <c r="K675" s="537"/>
      <c r="L675" s="537"/>
      <c r="M675" s="537"/>
      <c r="N675" s="537"/>
      <c r="O675" s="537"/>
      <c r="P675" s="537"/>
      <c r="Q675" s="537"/>
      <c r="R675" s="537"/>
      <c r="S675" s="537"/>
      <c r="T675" s="537">
        <v>275</v>
      </c>
      <c r="U675" s="537" t="s">
        <v>59</v>
      </c>
    </row>
    <row r="676" spans="1:21" x14ac:dyDescent="0.2">
      <c r="A676" s="537" t="str">
        <f t="shared" si="18"/>
        <v>Moray.2011.Accommodation - Bed Spaces.Serviced Accommodation 3</v>
      </c>
      <c r="B676" s="537" t="s">
        <v>196</v>
      </c>
      <c r="C676" s="537" t="str">
        <f t="shared" si="19"/>
        <v>2011.Accommodation - Bed Spaces.Serviced Accommodation 3</v>
      </c>
      <c r="D676" s="537" t="s">
        <v>206</v>
      </c>
      <c r="E676" s="537" t="s">
        <v>167</v>
      </c>
      <c r="F676" s="537" t="s">
        <v>156</v>
      </c>
      <c r="G676" s="537" t="s">
        <v>200</v>
      </c>
      <c r="H676" s="537"/>
      <c r="I676" s="537"/>
      <c r="J676" s="537"/>
      <c r="K676" s="537"/>
      <c r="L676" s="537"/>
      <c r="M676" s="537"/>
      <c r="N676" s="537"/>
      <c r="O676" s="537"/>
      <c r="P676" s="537"/>
      <c r="Q676" s="537"/>
      <c r="R676" s="537"/>
      <c r="S676" s="537"/>
      <c r="T676" s="537">
        <v>1203</v>
      </c>
      <c r="U676" s="537" t="s">
        <v>59</v>
      </c>
    </row>
    <row r="677" spans="1:21" x14ac:dyDescent="0.2">
      <c r="A677" s="537" t="str">
        <f t="shared" si="18"/>
        <v>Moray.2011.Accommodation - Bed Spaces.Serviced Accommodation 4</v>
      </c>
      <c r="B677" s="537" t="s">
        <v>196</v>
      </c>
      <c r="C677" s="537" t="str">
        <f t="shared" si="19"/>
        <v>2011.Accommodation - Bed Spaces.Serviced Accommodation 4</v>
      </c>
      <c r="D677" s="537" t="s">
        <v>206</v>
      </c>
      <c r="E677" s="537" t="s">
        <v>167</v>
      </c>
      <c r="F677" s="537" t="s">
        <v>157</v>
      </c>
      <c r="G677" s="537" t="s">
        <v>201</v>
      </c>
      <c r="H677" s="537"/>
      <c r="I677" s="537"/>
      <c r="J677" s="537"/>
      <c r="K677" s="537"/>
      <c r="L677" s="537"/>
      <c r="M677" s="537"/>
      <c r="N677" s="537"/>
      <c r="O677" s="537"/>
      <c r="P677" s="537"/>
      <c r="Q677" s="537"/>
      <c r="R677" s="537"/>
      <c r="S677" s="537"/>
      <c r="T677" s="537">
        <v>941</v>
      </c>
      <c r="U677" s="537" t="s">
        <v>59</v>
      </c>
    </row>
    <row r="678" spans="1:21" x14ac:dyDescent="0.2">
      <c r="A678" s="537" t="str">
        <f t="shared" si="18"/>
        <v>Moray.2011.Accommodation - Bed Spaces.Serviced Accommodation 5</v>
      </c>
      <c r="B678" s="537" t="s">
        <v>196</v>
      </c>
      <c r="C678" s="537" t="str">
        <f t="shared" si="19"/>
        <v>2011.Accommodation - Bed Spaces.Serviced Accommodation 5</v>
      </c>
      <c r="D678" s="537" t="s">
        <v>206</v>
      </c>
      <c r="E678" s="537" t="s">
        <v>167</v>
      </c>
      <c r="F678" s="537" t="s">
        <v>158</v>
      </c>
      <c r="G678" s="537" t="s">
        <v>194</v>
      </c>
      <c r="H678" s="537"/>
      <c r="I678" s="537"/>
      <c r="J678" s="537"/>
      <c r="K678" s="537"/>
      <c r="L678" s="537"/>
      <c r="M678" s="537"/>
      <c r="N678" s="537"/>
      <c r="O678" s="537"/>
      <c r="P678" s="537"/>
      <c r="Q678" s="537"/>
      <c r="R678" s="537"/>
      <c r="S678" s="537"/>
      <c r="T678" s="537" t="s">
        <v>194</v>
      </c>
      <c r="U678" s="537" t="s">
        <v>59</v>
      </c>
    </row>
    <row r="679" spans="1:21" x14ac:dyDescent="0.2">
      <c r="A679" s="537" t="str">
        <f t="shared" si="18"/>
        <v>Moray.2011.Accommodation - Bed Spaces.Serviced Accommodation Total</v>
      </c>
      <c r="B679" s="537" t="s">
        <v>196</v>
      </c>
      <c r="C679" s="537" t="str">
        <f t="shared" si="19"/>
        <v>2011.Accommodation - Bed Spaces.Serviced Accommodation Total</v>
      </c>
      <c r="D679" s="537" t="s">
        <v>206</v>
      </c>
      <c r="E679" s="537" t="s">
        <v>167</v>
      </c>
      <c r="F679" s="537" t="s">
        <v>164</v>
      </c>
      <c r="G679" s="537" t="s">
        <v>195</v>
      </c>
      <c r="H679" s="537"/>
      <c r="I679" s="537"/>
      <c r="J679" s="537"/>
      <c r="K679" s="537"/>
      <c r="L679" s="537"/>
      <c r="M679" s="537"/>
      <c r="N679" s="537"/>
      <c r="O679" s="537"/>
      <c r="P679" s="537"/>
      <c r="Q679" s="537"/>
      <c r="R679" s="537"/>
      <c r="S679" s="537"/>
      <c r="T679" s="537">
        <v>2637</v>
      </c>
      <c r="U679" s="537" t="s">
        <v>59</v>
      </c>
    </row>
    <row r="680" spans="1:21" x14ac:dyDescent="0.2">
      <c r="A680" s="537" t="str">
        <f t="shared" si="18"/>
        <v>Moray.2011.Accommodation - Bed Spaces.Non-Serviced Accommodation 1</v>
      </c>
      <c r="B680" s="537" t="s">
        <v>196</v>
      </c>
      <c r="C680" s="537" t="str">
        <f t="shared" si="19"/>
        <v>2011.Accommodation - Bed Spaces.Non-Serviced Accommodation 1</v>
      </c>
      <c r="D680" s="537" t="s">
        <v>206</v>
      </c>
      <c r="E680" s="537" t="s">
        <v>167</v>
      </c>
      <c r="F680" s="537" t="s">
        <v>159</v>
      </c>
      <c r="G680" s="537" t="s">
        <v>202</v>
      </c>
      <c r="H680" s="537"/>
      <c r="I680" s="537"/>
      <c r="J680" s="537"/>
      <c r="K680" s="537"/>
      <c r="L680" s="537"/>
      <c r="M680" s="537"/>
      <c r="N680" s="537"/>
      <c r="O680" s="537"/>
      <c r="P680" s="537"/>
      <c r="Q680" s="537"/>
      <c r="R680" s="537"/>
      <c r="S680" s="537"/>
      <c r="T680" s="537">
        <v>1998</v>
      </c>
      <c r="U680" s="537" t="s">
        <v>59</v>
      </c>
    </row>
    <row r="681" spans="1:21" x14ac:dyDescent="0.2">
      <c r="A681" s="537" t="str">
        <f t="shared" si="18"/>
        <v>Moray.2011.Accommodation - Bed Spaces.Non-Serviced Accommodation 2</v>
      </c>
      <c r="B681" s="537" t="s">
        <v>196</v>
      </c>
      <c r="C681" s="537" t="str">
        <f t="shared" si="19"/>
        <v>2011.Accommodation - Bed Spaces.Non-Serviced Accommodation 2</v>
      </c>
      <c r="D681" s="537" t="s">
        <v>206</v>
      </c>
      <c r="E681" s="537" t="s">
        <v>167</v>
      </c>
      <c r="F681" s="537" t="s">
        <v>160</v>
      </c>
      <c r="G681" s="537" t="s">
        <v>203</v>
      </c>
      <c r="H681" s="537"/>
      <c r="I681" s="537"/>
      <c r="J681" s="537"/>
      <c r="K681" s="537"/>
      <c r="L681" s="537"/>
      <c r="M681" s="537"/>
      <c r="N681" s="537"/>
      <c r="O681" s="537"/>
      <c r="P681" s="537"/>
      <c r="Q681" s="537"/>
      <c r="R681" s="537"/>
      <c r="S681" s="537"/>
      <c r="T681" s="537">
        <v>2211</v>
      </c>
      <c r="U681" s="537" t="s">
        <v>59</v>
      </c>
    </row>
    <row r="682" spans="1:21" x14ac:dyDescent="0.2">
      <c r="A682" s="537" t="str">
        <f t="shared" si="18"/>
        <v>Moray.2011.Accommodation - Bed Spaces.Non-Serviced Accommodation 3</v>
      </c>
      <c r="B682" s="537" t="s">
        <v>196</v>
      </c>
      <c r="C682" s="537" t="str">
        <f t="shared" si="19"/>
        <v>2011.Accommodation - Bed Spaces.Non-Serviced Accommodation 3</v>
      </c>
      <c r="D682" s="537" t="s">
        <v>206</v>
      </c>
      <c r="E682" s="537" t="s">
        <v>167</v>
      </c>
      <c r="F682" s="537" t="s">
        <v>161</v>
      </c>
      <c r="G682" s="537" t="s">
        <v>194</v>
      </c>
      <c r="H682" s="537"/>
      <c r="I682" s="537"/>
      <c r="J682" s="537"/>
      <c r="K682" s="537"/>
      <c r="L682" s="537"/>
      <c r="M682" s="537"/>
      <c r="N682" s="537"/>
      <c r="O682" s="537"/>
      <c r="P682" s="537"/>
      <c r="Q682" s="537"/>
      <c r="R682" s="537"/>
      <c r="S682" s="537"/>
      <c r="T682" s="537" t="s">
        <v>194</v>
      </c>
      <c r="U682" s="537" t="s">
        <v>59</v>
      </c>
    </row>
    <row r="683" spans="1:21" x14ac:dyDescent="0.2">
      <c r="A683" s="537" t="str">
        <f t="shared" si="18"/>
        <v>Moray.2011.Accommodation - Bed Spaces.Non-Serviced Accommodation 4</v>
      </c>
      <c r="B683" s="537" t="s">
        <v>196</v>
      </c>
      <c r="C683" s="537" t="str">
        <f t="shared" si="19"/>
        <v>2011.Accommodation - Bed Spaces.Non-Serviced Accommodation 4</v>
      </c>
      <c r="D683" s="537" t="s">
        <v>206</v>
      </c>
      <c r="E683" s="537" t="s">
        <v>167</v>
      </c>
      <c r="F683" s="537" t="s">
        <v>162</v>
      </c>
      <c r="G683" s="537" t="s">
        <v>194</v>
      </c>
      <c r="H683" s="537"/>
      <c r="I683" s="537"/>
      <c r="J683" s="537"/>
      <c r="K683" s="537"/>
      <c r="L683" s="537"/>
      <c r="M683" s="537"/>
      <c r="N683" s="537"/>
      <c r="O683" s="537"/>
      <c r="P683" s="537"/>
      <c r="Q683" s="537"/>
      <c r="R683" s="537"/>
      <c r="S683" s="537"/>
      <c r="T683" s="537" t="s">
        <v>194</v>
      </c>
      <c r="U683" s="537" t="s">
        <v>59</v>
      </c>
    </row>
    <row r="684" spans="1:21" x14ac:dyDescent="0.2">
      <c r="A684" s="537" t="str">
        <f t="shared" si="18"/>
        <v>Moray.2011.Accommodation - Bed Spaces.Non-Serviced Accommodation 5</v>
      </c>
      <c r="B684" s="537" t="s">
        <v>196</v>
      </c>
      <c r="C684" s="537" t="str">
        <f t="shared" si="19"/>
        <v>2011.Accommodation - Bed Spaces.Non-Serviced Accommodation 5</v>
      </c>
      <c r="D684" s="537" t="s">
        <v>206</v>
      </c>
      <c r="E684" s="537" t="s">
        <v>167</v>
      </c>
      <c r="F684" s="537" t="s">
        <v>163</v>
      </c>
      <c r="G684" s="537" t="s">
        <v>194</v>
      </c>
      <c r="H684" s="537"/>
      <c r="I684" s="537"/>
      <c r="J684" s="537"/>
      <c r="K684" s="537"/>
      <c r="L684" s="537"/>
      <c r="M684" s="537"/>
      <c r="N684" s="537"/>
      <c r="O684" s="537"/>
      <c r="P684" s="537"/>
      <c r="Q684" s="537"/>
      <c r="R684" s="537"/>
      <c r="S684" s="537"/>
      <c r="T684" s="537" t="s">
        <v>194</v>
      </c>
      <c r="U684" s="537" t="s">
        <v>59</v>
      </c>
    </row>
    <row r="685" spans="1:21" x14ac:dyDescent="0.2">
      <c r="A685" s="537" t="str">
        <f t="shared" si="18"/>
        <v>Moray.2011.Accommodation - Bed Spaces.Non-Serviced Accommodation Total</v>
      </c>
      <c r="B685" s="537" t="s">
        <v>196</v>
      </c>
      <c r="C685" s="537" t="str">
        <f t="shared" si="19"/>
        <v>2011.Accommodation - Bed Spaces.Non-Serviced Accommodation Total</v>
      </c>
      <c r="D685" s="537" t="s">
        <v>206</v>
      </c>
      <c r="E685" s="537" t="s">
        <v>167</v>
      </c>
      <c r="F685" s="537" t="s">
        <v>165</v>
      </c>
      <c r="G685" s="537" t="s">
        <v>204</v>
      </c>
      <c r="H685" s="537"/>
      <c r="I685" s="537"/>
      <c r="J685" s="537"/>
      <c r="K685" s="537"/>
      <c r="L685" s="537"/>
      <c r="M685" s="537"/>
      <c r="N685" s="537"/>
      <c r="O685" s="537"/>
      <c r="P685" s="537"/>
      <c r="Q685" s="537"/>
      <c r="R685" s="537"/>
      <c r="S685" s="537"/>
      <c r="T685" s="537">
        <v>4209</v>
      </c>
      <c r="U685" s="537" t="s">
        <v>59</v>
      </c>
    </row>
    <row r="686" spans="1:21" x14ac:dyDescent="0.2">
      <c r="A686" s="537" t="str">
        <f t="shared" si="18"/>
        <v>Moray.2011.Accommodation - Bed Spaces.All Accommodation Types</v>
      </c>
      <c r="B686" s="537" t="s">
        <v>196</v>
      </c>
      <c r="C686" s="537" t="str">
        <f t="shared" si="19"/>
        <v>2011.Accommodation - Bed Spaces.All Accommodation Types</v>
      </c>
      <c r="D686" s="537" t="s">
        <v>206</v>
      </c>
      <c r="E686" s="537" t="s">
        <v>167</v>
      </c>
      <c r="F686" s="537" t="s">
        <v>166</v>
      </c>
      <c r="G686" s="537" t="s">
        <v>39</v>
      </c>
      <c r="H686" s="537"/>
      <c r="I686" s="537"/>
      <c r="J686" s="537"/>
      <c r="K686" s="537"/>
      <c r="L686" s="537"/>
      <c r="M686" s="537"/>
      <c r="N686" s="537"/>
      <c r="O686" s="537"/>
      <c r="P686" s="537"/>
      <c r="Q686" s="537"/>
      <c r="R686" s="537"/>
      <c r="S686" s="537"/>
      <c r="T686" s="537">
        <v>6846</v>
      </c>
      <c r="U686" s="537" t="s">
        <v>59</v>
      </c>
    </row>
    <row r="687" spans="1:21" x14ac:dyDescent="0.2">
      <c r="A687" s="537" t="str">
        <f t="shared" si="18"/>
        <v>Moray.2012.Accommodation - Establishments.Serviced Accommodation 1</v>
      </c>
      <c r="B687" s="537" t="s">
        <v>196</v>
      </c>
      <c r="C687" s="537" t="str">
        <f t="shared" si="19"/>
        <v>2012.Accommodation - Establishments.Serviced Accommodation 1</v>
      </c>
      <c r="D687" s="537" t="s">
        <v>207</v>
      </c>
      <c r="E687" s="537" t="s">
        <v>153</v>
      </c>
      <c r="F687" s="537" t="s">
        <v>154</v>
      </c>
      <c r="G687" s="537" t="s">
        <v>198</v>
      </c>
      <c r="H687" s="537"/>
      <c r="I687" s="537"/>
      <c r="J687" s="537"/>
      <c r="K687" s="537"/>
      <c r="L687" s="537"/>
      <c r="M687" s="537"/>
      <c r="N687" s="537"/>
      <c r="O687" s="537"/>
      <c r="P687" s="537"/>
      <c r="Q687" s="537"/>
      <c r="R687" s="537"/>
      <c r="S687" s="537"/>
      <c r="T687" s="537">
        <v>2</v>
      </c>
      <c r="U687" s="537" t="s">
        <v>152</v>
      </c>
    </row>
    <row r="688" spans="1:21" x14ac:dyDescent="0.2">
      <c r="A688" s="537" t="str">
        <f t="shared" si="18"/>
        <v>Moray.2012.Accommodation - Establishments.Serviced Accommodation 2</v>
      </c>
      <c r="B688" s="537" t="s">
        <v>196</v>
      </c>
      <c r="C688" s="537" t="str">
        <f t="shared" si="19"/>
        <v>2012.Accommodation - Establishments.Serviced Accommodation 2</v>
      </c>
      <c r="D688" s="537" t="s">
        <v>207</v>
      </c>
      <c r="E688" s="537" t="s">
        <v>153</v>
      </c>
      <c r="F688" s="537" t="s">
        <v>155</v>
      </c>
      <c r="G688" s="537" t="s">
        <v>199</v>
      </c>
      <c r="H688" s="537"/>
      <c r="I688" s="537"/>
      <c r="J688" s="537"/>
      <c r="K688" s="537"/>
      <c r="L688" s="537"/>
      <c r="M688" s="537"/>
      <c r="N688" s="537"/>
      <c r="O688" s="537"/>
      <c r="P688" s="537"/>
      <c r="Q688" s="537"/>
      <c r="R688" s="537"/>
      <c r="S688" s="537"/>
      <c r="T688" s="537">
        <v>4</v>
      </c>
      <c r="U688" s="537" t="s">
        <v>152</v>
      </c>
    </row>
    <row r="689" spans="1:21" x14ac:dyDescent="0.2">
      <c r="A689" s="537" t="str">
        <f t="shared" si="18"/>
        <v>Moray.2012.Accommodation - Establishments.Serviced Accommodation 3</v>
      </c>
      <c r="B689" s="537" t="s">
        <v>196</v>
      </c>
      <c r="C689" s="537" t="str">
        <f t="shared" si="19"/>
        <v>2012.Accommodation - Establishments.Serviced Accommodation 3</v>
      </c>
      <c r="D689" s="537" t="s">
        <v>207</v>
      </c>
      <c r="E689" s="537" t="s">
        <v>153</v>
      </c>
      <c r="F689" s="537" t="s">
        <v>156</v>
      </c>
      <c r="G689" s="537" t="s">
        <v>200</v>
      </c>
      <c r="H689" s="537"/>
      <c r="I689" s="537"/>
      <c r="J689" s="537"/>
      <c r="K689" s="537"/>
      <c r="L689" s="537"/>
      <c r="M689" s="537"/>
      <c r="N689" s="537"/>
      <c r="O689" s="537"/>
      <c r="P689" s="537"/>
      <c r="Q689" s="537"/>
      <c r="R689" s="537"/>
      <c r="S689" s="537"/>
      <c r="T689" s="537">
        <v>77</v>
      </c>
      <c r="U689" s="537" t="s">
        <v>152</v>
      </c>
    </row>
    <row r="690" spans="1:21" x14ac:dyDescent="0.2">
      <c r="A690" s="537" t="str">
        <f t="shared" si="18"/>
        <v>Moray.2012.Accommodation - Establishments.Serviced Accommodation 4</v>
      </c>
      <c r="B690" s="537" t="s">
        <v>196</v>
      </c>
      <c r="C690" s="537" t="str">
        <f t="shared" si="19"/>
        <v>2012.Accommodation - Establishments.Serviced Accommodation 4</v>
      </c>
      <c r="D690" s="537" t="s">
        <v>207</v>
      </c>
      <c r="E690" s="537" t="s">
        <v>153</v>
      </c>
      <c r="F690" s="537" t="s">
        <v>157</v>
      </c>
      <c r="G690" s="537" t="s">
        <v>201</v>
      </c>
      <c r="H690" s="537"/>
      <c r="I690" s="537"/>
      <c r="J690" s="537"/>
      <c r="K690" s="537"/>
      <c r="L690" s="537"/>
      <c r="M690" s="537"/>
      <c r="N690" s="537"/>
      <c r="O690" s="537"/>
      <c r="P690" s="537"/>
      <c r="Q690" s="537"/>
      <c r="R690" s="537"/>
      <c r="S690" s="537"/>
      <c r="T690" s="537">
        <v>129</v>
      </c>
      <c r="U690" s="537" t="s">
        <v>152</v>
      </c>
    </row>
    <row r="691" spans="1:21" x14ac:dyDescent="0.2">
      <c r="A691" s="537" t="str">
        <f t="shared" si="18"/>
        <v>Moray.2012.Accommodation - Establishments.Serviced Accommodation 5</v>
      </c>
      <c r="B691" s="537" t="s">
        <v>196</v>
      </c>
      <c r="C691" s="537" t="str">
        <f t="shared" si="19"/>
        <v>2012.Accommodation - Establishments.Serviced Accommodation 5</v>
      </c>
      <c r="D691" s="537" t="s">
        <v>207</v>
      </c>
      <c r="E691" s="537" t="s">
        <v>153</v>
      </c>
      <c r="F691" s="537" t="s">
        <v>158</v>
      </c>
      <c r="G691" s="537" t="s">
        <v>194</v>
      </c>
      <c r="H691" s="537"/>
      <c r="I691" s="537"/>
      <c r="J691" s="537"/>
      <c r="K691" s="537"/>
      <c r="L691" s="537"/>
      <c r="M691" s="537"/>
      <c r="N691" s="537"/>
      <c r="O691" s="537"/>
      <c r="P691" s="537"/>
      <c r="Q691" s="537"/>
      <c r="R691" s="537"/>
      <c r="S691" s="537"/>
      <c r="T691" s="537" t="s">
        <v>194</v>
      </c>
      <c r="U691" s="537" t="s">
        <v>152</v>
      </c>
    </row>
    <row r="692" spans="1:21" ht="15" customHeight="1" x14ac:dyDescent="0.2">
      <c r="A692" s="537" t="str">
        <f t="shared" si="18"/>
        <v>Moray.2012.Accommodation - Establishments.Serviced Accommodation Total</v>
      </c>
      <c r="B692" s="537" t="s">
        <v>196</v>
      </c>
      <c r="C692" s="537" t="str">
        <f t="shared" si="19"/>
        <v>2012.Accommodation - Establishments.Serviced Accommodation Total</v>
      </c>
      <c r="D692" s="537" t="s">
        <v>207</v>
      </c>
      <c r="E692" s="537" t="s">
        <v>153</v>
      </c>
      <c r="F692" s="537" t="s">
        <v>164</v>
      </c>
      <c r="G692" s="537" t="s">
        <v>195</v>
      </c>
      <c r="H692" s="537"/>
      <c r="I692" s="537"/>
      <c r="J692" s="537"/>
      <c r="K692" s="537"/>
      <c r="L692" s="537"/>
      <c r="M692" s="537"/>
      <c r="N692" s="537"/>
      <c r="O692" s="537"/>
      <c r="P692" s="537"/>
      <c r="Q692" s="537"/>
      <c r="R692" s="537"/>
      <c r="S692" s="537"/>
      <c r="T692" s="537">
        <v>212</v>
      </c>
      <c r="U692" s="537" t="s">
        <v>152</v>
      </c>
    </row>
    <row r="693" spans="1:21" ht="15" customHeight="1" x14ac:dyDescent="0.2">
      <c r="A693" s="537" t="str">
        <f t="shared" si="18"/>
        <v>Moray.2012.Accommodation - Establishments.Non-Serviced Accommodation 1</v>
      </c>
      <c r="B693" s="537" t="s">
        <v>196</v>
      </c>
      <c r="C693" s="537" t="str">
        <f t="shared" si="19"/>
        <v>2012.Accommodation - Establishments.Non-Serviced Accommodation 1</v>
      </c>
      <c r="D693" s="537" t="s">
        <v>207</v>
      </c>
      <c r="E693" s="537" t="s">
        <v>153</v>
      </c>
      <c r="F693" s="537" t="s">
        <v>159</v>
      </c>
      <c r="G693" s="537" t="s">
        <v>202</v>
      </c>
      <c r="H693" s="537"/>
      <c r="I693" s="537"/>
      <c r="J693" s="537"/>
      <c r="K693" s="537"/>
      <c r="L693" s="537"/>
      <c r="M693" s="537"/>
      <c r="N693" s="537"/>
      <c r="O693" s="537"/>
      <c r="P693" s="537"/>
      <c r="Q693" s="537"/>
      <c r="R693" s="537"/>
      <c r="S693" s="537"/>
      <c r="T693" s="537">
        <v>177</v>
      </c>
      <c r="U693" s="537" t="s">
        <v>152</v>
      </c>
    </row>
    <row r="694" spans="1:21" ht="15" customHeight="1" x14ac:dyDescent="0.2">
      <c r="A694" s="537" t="str">
        <f t="shared" si="18"/>
        <v>Moray.2012.Accommodation - Establishments.Non-Serviced Accommodation 2</v>
      </c>
      <c r="B694" s="537" t="s">
        <v>196</v>
      </c>
      <c r="C694" s="537" t="str">
        <f t="shared" si="19"/>
        <v>2012.Accommodation - Establishments.Non-Serviced Accommodation 2</v>
      </c>
      <c r="D694" s="537" t="s">
        <v>207</v>
      </c>
      <c r="E694" s="537" t="s">
        <v>153</v>
      </c>
      <c r="F694" s="537" t="s">
        <v>160</v>
      </c>
      <c r="G694" s="537" t="s">
        <v>203</v>
      </c>
      <c r="H694" s="537"/>
      <c r="I694" s="537"/>
      <c r="J694" s="537"/>
      <c r="K694" s="537"/>
      <c r="L694" s="537"/>
      <c r="M694" s="537"/>
      <c r="N694" s="537"/>
      <c r="O694" s="537"/>
      <c r="P694" s="537"/>
      <c r="Q694" s="537"/>
      <c r="R694" s="537"/>
      <c r="S694" s="537"/>
      <c r="T694" s="537">
        <v>19</v>
      </c>
      <c r="U694" s="537" t="s">
        <v>152</v>
      </c>
    </row>
    <row r="695" spans="1:21" ht="15" customHeight="1" x14ac:dyDescent="0.2">
      <c r="A695" s="537" t="str">
        <f t="shared" si="18"/>
        <v>Moray.2012.Accommodation - Establishments.Non-Serviced Accommodation 3</v>
      </c>
      <c r="B695" s="537" t="s">
        <v>196</v>
      </c>
      <c r="C695" s="537" t="str">
        <f t="shared" si="19"/>
        <v>2012.Accommodation - Establishments.Non-Serviced Accommodation 3</v>
      </c>
      <c r="D695" s="537" t="s">
        <v>207</v>
      </c>
      <c r="E695" s="537" t="s">
        <v>153</v>
      </c>
      <c r="F695" s="537" t="s">
        <v>161</v>
      </c>
      <c r="G695" s="537" t="s">
        <v>194</v>
      </c>
      <c r="H695" s="537"/>
      <c r="I695" s="537"/>
      <c r="J695" s="537"/>
      <c r="K695" s="537"/>
      <c r="L695" s="537"/>
      <c r="M695" s="537"/>
      <c r="N695" s="537"/>
      <c r="O695" s="537"/>
      <c r="P695" s="537"/>
      <c r="Q695" s="537"/>
      <c r="R695" s="537"/>
      <c r="S695" s="537"/>
      <c r="T695" s="537" t="s">
        <v>194</v>
      </c>
      <c r="U695" s="537" t="s">
        <v>152</v>
      </c>
    </row>
    <row r="696" spans="1:21" ht="15" customHeight="1" x14ac:dyDescent="0.2">
      <c r="A696" s="537" t="str">
        <f t="shared" si="18"/>
        <v>Moray.2012.Accommodation - Establishments.Non-Serviced Accommodation 4</v>
      </c>
      <c r="B696" s="537" t="s">
        <v>196</v>
      </c>
      <c r="C696" s="537" t="str">
        <f t="shared" si="19"/>
        <v>2012.Accommodation - Establishments.Non-Serviced Accommodation 4</v>
      </c>
      <c r="D696" s="537" t="s">
        <v>207</v>
      </c>
      <c r="E696" s="537" t="s">
        <v>153</v>
      </c>
      <c r="F696" s="537" t="s">
        <v>162</v>
      </c>
      <c r="G696" s="537" t="s">
        <v>194</v>
      </c>
      <c r="H696" s="537"/>
      <c r="I696" s="537"/>
      <c r="J696" s="537"/>
      <c r="K696" s="537"/>
      <c r="L696" s="537"/>
      <c r="M696" s="537"/>
      <c r="N696" s="537"/>
      <c r="O696" s="537"/>
      <c r="P696" s="537"/>
      <c r="Q696" s="537"/>
      <c r="R696" s="537"/>
      <c r="S696" s="537"/>
      <c r="T696" s="537" t="s">
        <v>194</v>
      </c>
      <c r="U696" s="537" t="s">
        <v>152</v>
      </c>
    </row>
    <row r="697" spans="1:21" ht="15" customHeight="1" x14ac:dyDescent="0.2">
      <c r="A697" s="537" t="str">
        <f t="shared" si="18"/>
        <v>Moray.2012.Accommodation - Establishments.Non-Serviced Accommodation 5</v>
      </c>
      <c r="B697" s="537" t="s">
        <v>196</v>
      </c>
      <c r="C697" s="537" t="str">
        <f t="shared" si="19"/>
        <v>2012.Accommodation - Establishments.Non-Serviced Accommodation 5</v>
      </c>
      <c r="D697" s="537" t="s">
        <v>207</v>
      </c>
      <c r="E697" s="537" t="s">
        <v>153</v>
      </c>
      <c r="F697" s="537" t="s">
        <v>163</v>
      </c>
      <c r="G697" s="537" t="s">
        <v>194</v>
      </c>
      <c r="H697" s="537"/>
      <c r="I697" s="537"/>
      <c r="J697" s="537"/>
      <c r="K697" s="537"/>
      <c r="L697" s="537"/>
      <c r="M697" s="537"/>
      <c r="N697" s="537"/>
      <c r="O697" s="537"/>
      <c r="P697" s="537"/>
      <c r="Q697" s="537"/>
      <c r="R697" s="537"/>
      <c r="S697" s="537"/>
      <c r="T697" s="537" t="s">
        <v>194</v>
      </c>
      <c r="U697" s="537" t="s">
        <v>152</v>
      </c>
    </row>
    <row r="698" spans="1:21" ht="15" customHeight="1" x14ac:dyDescent="0.2">
      <c r="A698" s="537" t="str">
        <f t="shared" si="18"/>
        <v>Moray.2012.Accommodation - Establishments.Non-Serviced Accommodation Total</v>
      </c>
      <c r="B698" s="537" t="s">
        <v>196</v>
      </c>
      <c r="C698" s="537" t="str">
        <f t="shared" si="19"/>
        <v>2012.Accommodation - Establishments.Non-Serviced Accommodation Total</v>
      </c>
      <c r="D698" s="537" t="s">
        <v>207</v>
      </c>
      <c r="E698" s="537" t="s">
        <v>153</v>
      </c>
      <c r="F698" s="537" t="s">
        <v>165</v>
      </c>
      <c r="G698" s="537" t="s">
        <v>204</v>
      </c>
      <c r="H698" s="537"/>
      <c r="I698" s="537"/>
      <c r="J698" s="537"/>
      <c r="K698" s="537"/>
      <c r="L698" s="537"/>
      <c r="M698" s="537"/>
      <c r="N698" s="537"/>
      <c r="O698" s="537"/>
      <c r="P698" s="537"/>
      <c r="Q698" s="537"/>
      <c r="R698" s="537"/>
      <c r="S698" s="537"/>
      <c r="T698" s="537">
        <v>196</v>
      </c>
      <c r="U698" s="537" t="s">
        <v>152</v>
      </c>
    </row>
    <row r="699" spans="1:21" ht="15" customHeight="1" x14ac:dyDescent="0.2">
      <c r="A699" s="537" t="str">
        <f t="shared" si="18"/>
        <v>Moray.2012.Accommodation - Establishments.All Accommodation Types</v>
      </c>
      <c r="B699" s="537" t="s">
        <v>196</v>
      </c>
      <c r="C699" s="537" t="str">
        <f t="shared" si="19"/>
        <v>2012.Accommodation - Establishments.All Accommodation Types</v>
      </c>
      <c r="D699" s="537" t="s">
        <v>207</v>
      </c>
      <c r="E699" s="537" t="s">
        <v>153</v>
      </c>
      <c r="F699" s="537" t="s">
        <v>166</v>
      </c>
      <c r="G699" s="537" t="s">
        <v>39</v>
      </c>
      <c r="H699" s="537"/>
      <c r="I699" s="537"/>
      <c r="J699" s="537"/>
      <c r="K699" s="537"/>
      <c r="L699" s="537"/>
      <c r="M699" s="537"/>
      <c r="N699" s="537"/>
      <c r="O699" s="537"/>
      <c r="P699" s="537"/>
      <c r="Q699" s="537"/>
      <c r="R699" s="537"/>
      <c r="S699" s="537"/>
      <c r="T699" s="537">
        <v>408</v>
      </c>
      <c r="U699" s="537" t="s">
        <v>152</v>
      </c>
    </row>
    <row r="700" spans="1:21" x14ac:dyDescent="0.2">
      <c r="A700" s="537" t="str">
        <f t="shared" si="18"/>
        <v>Moray.2012.Accommodation - Bed Spaces.Serviced Accommodation 1</v>
      </c>
      <c r="B700" s="537" t="s">
        <v>196</v>
      </c>
      <c r="C700" s="537" t="str">
        <f t="shared" si="19"/>
        <v>2012.Accommodation - Bed Spaces.Serviced Accommodation 1</v>
      </c>
      <c r="D700" s="537" t="s">
        <v>207</v>
      </c>
      <c r="E700" s="537" t="s">
        <v>167</v>
      </c>
      <c r="F700" s="537" t="s">
        <v>154</v>
      </c>
      <c r="G700" s="537" t="s">
        <v>198</v>
      </c>
      <c r="H700" s="537"/>
      <c r="I700" s="537"/>
      <c r="J700" s="537"/>
      <c r="K700" s="537"/>
      <c r="L700" s="537"/>
      <c r="M700" s="537"/>
      <c r="N700" s="537"/>
      <c r="O700" s="537"/>
      <c r="P700" s="537"/>
      <c r="Q700" s="537"/>
      <c r="R700" s="537"/>
      <c r="S700" s="537"/>
      <c r="T700" s="537">
        <v>218</v>
      </c>
      <c r="U700" s="537" t="s">
        <v>59</v>
      </c>
    </row>
    <row r="701" spans="1:21" x14ac:dyDescent="0.2">
      <c r="A701" s="537" t="str">
        <f t="shared" si="18"/>
        <v>Moray.2012.Accommodation - Bed Spaces.Serviced Accommodation 2</v>
      </c>
      <c r="B701" s="537" t="s">
        <v>196</v>
      </c>
      <c r="C701" s="537" t="str">
        <f t="shared" si="19"/>
        <v>2012.Accommodation - Bed Spaces.Serviced Accommodation 2</v>
      </c>
      <c r="D701" s="537" t="s">
        <v>207</v>
      </c>
      <c r="E701" s="537" t="s">
        <v>167</v>
      </c>
      <c r="F701" s="537" t="s">
        <v>155</v>
      </c>
      <c r="G701" s="537" t="s">
        <v>199</v>
      </c>
      <c r="H701" s="537"/>
      <c r="I701" s="537"/>
      <c r="J701" s="537"/>
      <c r="K701" s="537"/>
      <c r="L701" s="537"/>
      <c r="M701" s="537"/>
      <c r="N701" s="537"/>
      <c r="O701" s="537"/>
      <c r="P701" s="537"/>
      <c r="Q701" s="537"/>
      <c r="R701" s="537"/>
      <c r="S701" s="537"/>
      <c r="T701" s="537">
        <v>275</v>
      </c>
      <c r="U701" s="537" t="s">
        <v>59</v>
      </c>
    </row>
    <row r="702" spans="1:21" x14ac:dyDescent="0.2">
      <c r="A702" s="537" t="str">
        <f t="shared" si="18"/>
        <v>Moray.2012.Accommodation - Bed Spaces.Serviced Accommodation 3</v>
      </c>
      <c r="B702" s="537" t="s">
        <v>196</v>
      </c>
      <c r="C702" s="537" t="str">
        <f t="shared" si="19"/>
        <v>2012.Accommodation - Bed Spaces.Serviced Accommodation 3</v>
      </c>
      <c r="D702" s="537" t="s">
        <v>207</v>
      </c>
      <c r="E702" s="537" t="s">
        <v>167</v>
      </c>
      <c r="F702" s="537" t="s">
        <v>156</v>
      </c>
      <c r="G702" s="537" t="s">
        <v>200</v>
      </c>
      <c r="H702" s="537"/>
      <c r="I702" s="537"/>
      <c r="J702" s="537"/>
      <c r="K702" s="537"/>
      <c r="L702" s="537"/>
      <c r="M702" s="537"/>
      <c r="N702" s="537"/>
      <c r="O702" s="537"/>
      <c r="P702" s="537"/>
      <c r="Q702" s="537"/>
      <c r="R702" s="537"/>
      <c r="S702" s="537"/>
      <c r="T702" s="537">
        <v>1203</v>
      </c>
      <c r="U702" s="537" t="s">
        <v>59</v>
      </c>
    </row>
    <row r="703" spans="1:21" x14ac:dyDescent="0.2">
      <c r="A703" s="537" t="str">
        <f t="shared" si="18"/>
        <v>Moray.2012.Accommodation - Bed Spaces.Serviced Accommodation 4</v>
      </c>
      <c r="B703" s="537" t="s">
        <v>196</v>
      </c>
      <c r="C703" s="537" t="str">
        <f t="shared" si="19"/>
        <v>2012.Accommodation - Bed Spaces.Serviced Accommodation 4</v>
      </c>
      <c r="D703" s="537" t="s">
        <v>207</v>
      </c>
      <c r="E703" s="537" t="s">
        <v>167</v>
      </c>
      <c r="F703" s="537" t="s">
        <v>157</v>
      </c>
      <c r="G703" s="537" t="s">
        <v>201</v>
      </c>
      <c r="H703" s="537"/>
      <c r="I703" s="537"/>
      <c r="J703" s="537"/>
      <c r="K703" s="537"/>
      <c r="L703" s="537"/>
      <c r="M703" s="537"/>
      <c r="N703" s="537"/>
      <c r="O703" s="537"/>
      <c r="P703" s="537"/>
      <c r="Q703" s="537"/>
      <c r="R703" s="537"/>
      <c r="S703" s="537"/>
      <c r="T703" s="537">
        <v>947</v>
      </c>
      <c r="U703" s="537" t="s">
        <v>59</v>
      </c>
    </row>
    <row r="704" spans="1:21" x14ac:dyDescent="0.2">
      <c r="A704" s="537" t="str">
        <f t="shared" si="18"/>
        <v>Moray.2012.Accommodation - Bed Spaces.Serviced Accommodation 5</v>
      </c>
      <c r="B704" s="537" t="s">
        <v>196</v>
      </c>
      <c r="C704" s="537" t="str">
        <f t="shared" si="19"/>
        <v>2012.Accommodation - Bed Spaces.Serviced Accommodation 5</v>
      </c>
      <c r="D704" s="537" t="s">
        <v>207</v>
      </c>
      <c r="E704" s="537" t="s">
        <v>167</v>
      </c>
      <c r="F704" s="537" t="s">
        <v>158</v>
      </c>
      <c r="G704" s="537" t="s">
        <v>194</v>
      </c>
      <c r="H704" s="537"/>
      <c r="I704" s="537"/>
      <c r="J704" s="537"/>
      <c r="K704" s="537"/>
      <c r="L704" s="537"/>
      <c r="M704" s="537"/>
      <c r="N704" s="537"/>
      <c r="O704" s="537"/>
      <c r="P704" s="537"/>
      <c r="Q704" s="537"/>
      <c r="R704" s="537"/>
      <c r="S704" s="537"/>
      <c r="T704" s="537" t="s">
        <v>194</v>
      </c>
      <c r="U704" s="537" t="s">
        <v>59</v>
      </c>
    </row>
    <row r="705" spans="1:21" x14ac:dyDescent="0.2">
      <c r="A705" s="537" t="str">
        <f t="shared" si="18"/>
        <v>Moray.2012.Accommodation - Bed Spaces.Serviced Accommodation Total</v>
      </c>
      <c r="B705" s="537" t="s">
        <v>196</v>
      </c>
      <c r="C705" s="537" t="str">
        <f t="shared" si="19"/>
        <v>2012.Accommodation - Bed Spaces.Serviced Accommodation Total</v>
      </c>
      <c r="D705" s="537" t="s">
        <v>207</v>
      </c>
      <c r="E705" s="537" t="s">
        <v>167</v>
      </c>
      <c r="F705" s="537" t="s">
        <v>164</v>
      </c>
      <c r="G705" s="537" t="s">
        <v>195</v>
      </c>
      <c r="H705" s="537"/>
      <c r="I705" s="537"/>
      <c r="J705" s="537"/>
      <c r="K705" s="537"/>
      <c r="L705" s="537"/>
      <c r="M705" s="537"/>
      <c r="N705" s="537"/>
      <c r="O705" s="537"/>
      <c r="P705" s="537"/>
      <c r="Q705" s="537"/>
      <c r="R705" s="537"/>
      <c r="S705" s="537"/>
      <c r="T705" s="537">
        <v>2643</v>
      </c>
      <c r="U705" s="537" t="s">
        <v>59</v>
      </c>
    </row>
    <row r="706" spans="1:21" x14ac:dyDescent="0.2">
      <c r="A706" s="537" t="str">
        <f t="shared" si="18"/>
        <v>Moray.2012.Accommodation - Bed Spaces.Non-Serviced Accommodation 1</v>
      </c>
      <c r="B706" s="537" t="s">
        <v>196</v>
      </c>
      <c r="C706" s="537" t="str">
        <f t="shared" si="19"/>
        <v>2012.Accommodation - Bed Spaces.Non-Serviced Accommodation 1</v>
      </c>
      <c r="D706" s="537" t="s">
        <v>207</v>
      </c>
      <c r="E706" s="537" t="s">
        <v>167</v>
      </c>
      <c r="F706" s="537" t="s">
        <v>159</v>
      </c>
      <c r="G706" s="537" t="s">
        <v>202</v>
      </c>
      <c r="H706" s="537"/>
      <c r="I706" s="537"/>
      <c r="J706" s="537"/>
      <c r="K706" s="537"/>
      <c r="L706" s="537"/>
      <c r="M706" s="537"/>
      <c r="N706" s="537"/>
      <c r="O706" s="537"/>
      <c r="P706" s="537"/>
      <c r="Q706" s="537"/>
      <c r="R706" s="537"/>
      <c r="S706" s="537"/>
      <c r="T706" s="537">
        <v>2010</v>
      </c>
      <c r="U706" s="537" t="s">
        <v>59</v>
      </c>
    </row>
    <row r="707" spans="1:21" x14ac:dyDescent="0.2">
      <c r="A707" s="537" t="str">
        <f t="shared" si="18"/>
        <v>Moray.2012.Accommodation - Bed Spaces.Non-Serviced Accommodation 2</v>
      </c>
      <c r="B707" s="537" t="s">
        <v>196</v>
      </c>
      <c r="C707" s="537" t="str">
        <f t="shared" si="19"/>
        <v>2012.Accommodation - Bed Spaces.Non-Serviced Accommodation 2</v>
      </c>
      <c r="D707" s="537" t="s">
        <v>207</v>
      </c>
      <c r="E707" s="537" t="s">
        <v>167</v>
      </c>
      <c r="F707" s="537" t="s">
        <v>160</v>
      </c>
      <c r="G707" s="537" t="s">
        <v>203</v>
      </c>
      <c r="H707" s="537"/>
      <c r="I707" s="537"/>
      <c r="J707" s="537"/>
      <c r="K707" s="537"/>
      <c r="L707" s="537"/>
      <c r="M707" s="537"/>
      <c r="N707" s="537"/>
      <c r="O707" s="537"/>
      <c r="P707" s="537"/>
      <c r="Q707" s="537"/>
      <c r="R707" s="537"/>
      <c r="S707" s="537"/>
      <c r="T707" s="537">
        <v>2211</v>
      </c>
      <c r="U707" s="537" t="s">
        <v>59</v>
      </c>
    </row>
    <row r="708" spans="1:21" x14ac:dyDescent="0.2">
      <c r="A708" s="537" t="str">
        <f t="shared" si="18"/>
        <v>Moray.2012.Accommodation - Bed Spaces.Non-Serviced Accommodation 3</v>
      </c>
      <c r="B708" s="537" t="s">
        <v>196</v>
      </c>
      <c r="C708" s="537" t="str">
        <f t="shared" si="19"/>
        <v>2012.Accommodation - Bed Spaces.Non-Serviced Accommodation 3</v>
      </c>
      <c r="D708" s="537" t="s">
        <v>207</v>
      </c>
      <c r="E708" s="537" t="s">
        <v>167</v>
      </c>
      <c r="F708" s="537" t="s">
        <v>161</v>
      </c>
      <c r="G708" s="537" t="s">
        <v>194</v>
      </c>
      <c r="H708" s="537"/>
      <c r="I708" s="537"/>
      <c r="J708" s="537"/>
      <c r="K708" s="537"/>
      <c r="L708" s="537"/>
      <c r="M708" s="537"/>
      <c r="N708" s="537"/>
      <c r="O708" s="537"/>
      <c r="P708" s="537"/>
      <c r="Q708" s="537"/>
      <c r="R708" s="537"/>
      <c r="S708" s="537"/>
      <c r="T708" s="537" t="s">
        <v>194</v>
      </c>
      <c r="U708" s="537" t="s">
        <v>59</v>
      </c>
    </row>
    <row r="709" spans="1:21" x14ac:dyDescent="0.2">
      <c r="A709" s="537" t="str">
        <f t="shared" si="18"/>
        <v>Moray.2012.Accommodation - Bed Spaces.Non-Serviced Accommodation 4</v>
      </c>
      <c r="B709" s="537" t="s">
        <v>196</v>
      </c>
      <c r="C709" s="537" t="str">
        <f t="shared" si="19"/>
        <v>2012.Accommodation - Bed Spaces.Non-Serviced Accommodation 4</v>
      </c>
      <c r="D709" s="537" t="s">
        <v>207</v>
      </c>
      <c r="E709" s="537" t="s">
        <v>167</v>
      </c>
      <c r="F709" s="537" t="s">
        <v>162</v>
      </c>
      <c r="G709" s="537" t="s">
        <v>194</v>
      </c>
      <c r="H709" s="537"/>
      <c r="I709" s="537"/>
      <c r="J709" s="537"/>
      <c r="K709" s="537"/>
      <c r="L709" s="537"/>
      <c r="M709" s="537"/>
      <c r="N709" s="537"/>
      <c r="O709" s="537"/>
      <c r="P709" s="537"/>
      <c r="Q709" s="537"/>
      <c r="R709" s="537"/>
      <c r="S709" s="537"/>
      <c r="T709" s="537" t="s">
        <v>194</v>
      </c>
      <c r="U709" s="537" t="s">
        <v>59</v>
      </c>
    </row>
    <row r="710" spans="1:21" x14ac:dyDescent="0.2">
      <c r="A710" s="537" t="str">
        <f t="shared" si="18"/>
        <v>Moray.2012.Accommodation - Bed Spaces.Non-Serviced Accommodation 5</v>
      </c>
      <c r="B710" s="537" t="s">
        <v>196</v>
      </c>
      <c r="C710" s="537" t="str">
        <f t="shared" si="19"/>
        <v>2012.Accommodation - Bed Spaces.Non-Serviced Accommodation 5</v>
      </c>
      <c r="D710" s="537" t="s">
        <v>207</v>
      </c>
      <c r="E710" s="537" t="s">
        <v>167</v>
      </c>
      <c r="F710" s="537" t="s">
        <v>163</v>
      </c>
      <c r="G710" s="537" t="s">
        <v>194</v>
      </c>
      <c r="H710" s="537"/>
      <c r="I710" s="537"/>
      <c r="J710" s="537"/>
      <c r="K710" s="537"/>
      <c r="L710" s="537"/>
      <c r="M710" s="537"/>
      <c r="N710" s="537"/>
      <c r="O710" s="537"/>
      <c r="P710" s="537"/>
      <c r="Q710" s="537"/>
      <c r="R710" s="537"/>
      <c r="S710" s="537"/>
      <c r="T710" s="537" t="s">
        <v>194</v>
      </c>
      <c r="U710" s="537" t="s">
        <v>59</v>
      </c>
    </row>
    <row r="711" spans="1:21" x14ac:dyDescent="0.2">
      <c r="A711" s="537" t="str">
        <f t="shared" si="18"/>
        <v>Moray.2012.Accommodation - Bed Spaces.Non-Serviced Accommodation Total</v>
      </c>
      <c r="B711" s="537" t="s">
        <v>196</v>
      </c>
      <c r="C711" s="537" t="str">
        <f t="shared" si="19"/>
        <v>2012.Accommodation - Bed Spaces.Non-Serviced Accommodation Total</v>
      </c>
      <c r="D711" s="537" t="s">
        <v>207</v>
      </c>
      <c r="E711" s="537" t="s">
        <v>167</v>
      </c>
      <c r="F711" s="537" t="s">
        <v>165</v>
      </c>
      <c r="G711" s="537" t="s">
        <v>204</v>
      </c>
      <c r="H711" s="537"/>
      <c r="I711" s="537"/>
      <c r="J711" s="537"/>
      <c r="K711" s="537"/>
      <c r="L711" s="537"/>
      <c r="M711" s="537"/>
      <c r="N711" s="537"/>
      <c r="O711" s="537"/>
      <c r="P711" s="537"/>
      <c r="Q711" s="537"/>
      <c r="R711" s="537"/>
      <c r="S711" s="537"/>
      <c r="T711" s="537">
        <v>4221</v>
      </c>
      <c r="U711" s="537" t="s">
        <v>59</v>
      </c>
    </row>
    <row r="712" spans="1:21" x14ac:dyDescent="0.2">
      <c r="A712" s="537" t="str">
        <f t="shared" si="18"/>
        <v>Moray.2012.Accommodation - Bed Spaces.All Accommodation Types</v>
      </c>
      <c r="B712" s="537" t="s">
        <v>196</v>
      </c>
      <c r="C712" s="537" t="str">
        <f t="shared" si="19"/>
        <v>2012.Accommodation - Bed Spaces.All Accommodation Types</v>
      </c>
      <c r="D712" s="537" t="s">
        <v>207</v>
      </c>
      <c r="E712" s="537" t="s">
        <v>167</v>
      </c>
      <c r="F712" s="537" t="s">
        <v>166</v>
      </c>
      <c r="G712" s="537" t="s">
        <v>39</v>
      </c>
      <c r="H712" s="537"/>
      <c r="I712" s="537"/>
      <c r="J712" s="537"/>
      <c r="K712" s="537"/>
      <c r="L712" s="537"/>
      <c r="M712" s="537"/>
      <c r="N712" s="537"/>
      <c r="O712" s="537"/>
      <c r="P712" s="537"/>
      <c r="Q712" s="537"/>
      <c r="R712" s="537"/>
      <c r="S712" s="537"/>
      <c r="T712" s="537">
        <v>6864</v>
      </c>
      <c r="U712" s="537" t="s">
        <v>59</v>
      </c>
    </row>
    <row r="713" spans="1:21" x14ac:dyDescent="0.2">
      <c r="A713" s="537" t="str">
        <f t="shared" ref="A713:A816" si="20">B713&amp;"."&amp;D713&amp;"."&amp;E713&amp;"."&amp;F713</f>
        <v>Moray.2013.Accommodation - Establishments.Serviced Accommodation 1</v>
      </c>
      <c r="B713" s="537" t="s">
        <v>196</v>
      </c>
      <c r="C713" s="537" t="str">
        <f t="shared" ref="C713:C816" si="21">D713&amp;"."&amp;E713&amp;"."&amp;F713</f>
        <v>2013.Accommodation - Establishments.Serviced Accommodation 1</v>
      </c>
      <c r="D713" s="537" t="s">
        <v>208</v>
      </c>
      <c r="E713" s="537" t="s">
        <v>153</v>
      </c>
      <c r="F713" s="537" t="s">
        <v>154</v>
      </c>
      <c r="G713" s="537" t="s">
        <v>198</v>
      </c>
      <c r="H713" s="537"/>
      <c r="I713" s="537"/>
      <c r="J713" s="537"/>
      <c r="K713" s="537"/>
      <c r="L713" s="537"/>
      <c r="M713" s="537"/>
      <c r="N713" s="537"/>
      <c r="O713" s="537"/>
      <c r="P713" s="537"/>
      <c r="Q713" s="537"/>
      <c r="R713" s="537"/>
      <c r="S713" s="537"/>
      <c r="T713" s="537">
        <v>2</v>
      </c>
      <c r="U713" s="537" t="s">
        <v>152</v>
      </c>
    </row>
    <row r="714" spans="1:21" x14ac:dyDescent="0.2">
      <c r="A714" s="537" t="str">
        <f t="shared" si="20"/>
        <v>Moray.2013.Accommodation - Establishments.Serviced Accommodation 2</v>
      </c>
      <c r="B714" s="537" t="s">
        <v>196</v>
      </c>
      <c r="C714" s="537" t="str">
        <f t="shared" si="21"/>
        <v>2013.Accommodation - Establishments.Serviced Accommodation 2</v>
      </c>
      <c r="D714" s="537" t="s">
        <v>208</v>
      </c>
      <c r="E714" s="537" t="s">
        <v>153</v>
      </c>
      <c r="F714" s="537" t="s">
        <v>155</v>
      </c>
      <c r="G714" s="537" t="s">
        <v>199</v>
      </c>
      <c r="H714" s="537"/>
      <c r="I714" s="537"/>
      <c r="J714" s="537"/>
      <c r="K714" s="537"/>
      <c r="L714" s="537"/>
      <c r="M714" s="537"/>
      <c r="N714" s="537"/>
      <c r="O714" s="537"/>
      <c r="P714" s="537"/>
      <c r="Q714" s="537"/>
      <c r="R714" s="537"/>
      <c r="S714" s="537"/>
      <c r="T714" s="537">
        <v>4</v>
      </c>
      <c r="U714" s="537" t="s">
        <v>152</v>
      </c>
    </row>
    <row r="715" spans="1:21" x14ac:dyDescent="0.2">
      <c r="A715" s="537" t="str">
        <f t="shared" si="20"/>
        <v>Moray.2013.Accommodation - Establishments.Serviced Accommodation 3</v>
      </c>
      <c r="B715" s="537" t="s">
        <v>196</v>
      </c>
      <c r="C715" s="537" t="str">
        <f t="shared" si="21"/>
        <v>2013.Accommodation - Establishments.Serviced Accommodation 3</v>
      </c>
      <c r="D715" s="537" t="s">
        <v>208</v>
      </c>
      <c r="E715" s="537" t="s">
        <v>153</v>
      </c>
      <c r="F715" s="537" t="s">
        <v>156</v>
      </c>
      <c r="G715" s="537" t="s">
        <v>200</v>
      </c>
      <c r="H715" s="537"/>
      <c r="I715" s="537"/>
      <c r="J715" s="537"/>
      <c r="K715" s="537"/>
      <c r="L715" s="537"/>
      <c r="M715" s="537"/>
      <c r="N715" s="537"/>
      <c r="O715" s="537"/>
      <c r="P715" s="537"/>
      <c r="Q715" s="537"/>
      <c r="R715" s="537"/>
      <c r="S715" s="537"/>
      <c r="T715" s="537">
        <v>77</v>
      </c>
      <c r="U715" s="537" t="s">
        <v>152</v>
      </c>
    </row>
    <row r="716" spans="1:21" x14ac:dyDescent="0.2">
      <c r="A716" s="537" t="str">
        <f t="shared" si="20"/>
        <v>Moray.2013.Accommodation - Establishments.Serviced Accommodation 4</v>
      </c>
      <c r="B716" s="537" t="s">
        <v>196</v>
      </c>
      <c r="C716" s="537" t="str">
        <f t="shared" si="21"/>
        <v>2013.Accommodation - Establishments.Serviced Accommodation 4</v>
      </c>
      <c r="D716" s="537" t="s">
        <v>208</v>
      </c>
      <c r="E716" s="537" t="s">
        <v>153</v>
      </c>
      <c r="F716" s="537" t="s">
        <v>157</v>
      </c>
      <c r="G716" s="537" t="s">
        <v>201</v>
      </c>
      <c r="H716" s="537"/>
      <c r="I716" s="537"/>
      <c r="J716" s="537"/>
      <c r="K716" s="537"/>
      <c r="L716" s="537"/>
      <c r="M716" s="537"/>
      <c r="N716" s="537"/>
      <c r="O716" s="537"/>
      <c r="P716" s="537"/>
      <c r="Q716" s="537"/>
      <c r="R716" s="537"/>
      <c r="S716" s="537"/>
      <c r="T716" s="537">
        <v>129</v>
      </c>
      <c r="U716" s="537" t="s">
        <v>152</v>
      </c>
    </row>
    <row r="717" spans="1:21" x14ac:dyDescent="0.2">
      <c r="A717" s="537" t="str">
        <f t="shared" si="20"/>
        <v>Moray.2013.Accommodation - Establishments.Serviced Accommodation 5</v>
      </c>
      <c r="B717" s="537" t="s">
        <v>196</v>
      </c>
      <c r="C717" s="537" t="str">
        <f t="shared" si="21"/>
        <v>2013.Accommodation - Establishments.Serviced Accommodation 5</v>
      </c>
      <c r="D717" s="537" t="s">
        <v>208</v>
      </c>
      <c r="E717" s="537" t="s">
        <v>153</v>
      </c>
      <c r="F717" s="537" t="s">
        <v>158</v>
      </c>
      <c r="G717" s="537" t="s">
        <v>194</v>
      </c>
      <c r="H717" s="537"/>
      <c r="I717" s="537"/>
      <c r="J717" s="537"/>
      <c r="K717" s="537"/>
      <c r="L717" s="537"/>
      <c r="M717" s="537"/>
      <c r="N717" s="537"/>
      <c r="O717" s="537"/>
      <c r="P717" s="537"/>
      <c r="Q717" s="537"/>
      <c r="R717" s="537"/>
      <c r="S717" s="537"/>
      <c r="T717" s="537" t="s">
        <v>194</v>
      </c>
      <c r="U717" s="537" t="s">
        <v>152</v>
      </c>
    </row>
    <row r="718" spans="1:21" ht="15" customHeight="1" x14ac:dyDescent="0.2">
      <c r="A718" s="537" t="str">
        <f t="shared" si="20"/>
        <v>Moray.2013.Accommodation - Establishments.Serviced Accommodation Total</v>
      </c>
      <c r="B718" s="537" t="s">
        <v>196</v>
      </c>
      <c r="C718" s="537" t="str">
        <f t="shared" si="21"/>
        <v>2013.Accommodation - Establishments.Serviced Accommodation Total</v>
      </c>
      <c r="D718" s="537" t="s">
        <v>208</v>
      </c>
      <c r="E718" s="537" t="s">
        <v>153</v>
      </c>
      <c r="F718" s="537" t="s">
        <v>164</v>
      </c>
      <c r="G718" s="537" t="s">
        <v>195</v>
      </c>
      <c r="H718" s="537"/>
      <c r="I718" s="537"/>
      <c r="J718" s="537"/>
      <c r="K718" s="537"/>
      <c r="L718" s="537"/>
      <c r="M718" s="537"/>
      <c r="N718" s="537"/>
      <c r="O718" s="537"/>
      <c r="P718" s="537"/>
      <c r="Q718" s="537"/>
      <c r="R718" s="537"/>
      <c r="S718" s="537"/>
      <c r="T718" s="537">
        <v>212</v>
      </c>
      <c r="U718" s="537" t="s">
        <v>152</v>
      </c>
    </row>
    <row r="719" spans="1:21" ht="15" customHeight="1" x14ac:dyDescent="0.2">
      <c r="A719" s="537" t="str">
        <f t="shared" si="20"/>
        <v>Moray.2013.Accommodation - Establishments.Non-Serviced Accommodation 1</v>
      </c>
      <c r="B719" s="537" t="s">
        <v>196</v>
      </c>
      <c r="C719" s="537" t="str">
        <f t="shared" si="21"/>
        <v>2013.Accommodation - Establishments.Non-Serviced Accommodation 1</v>
      </c>
      <c r="D719" s="537" t="s">
        <v>208</v>
      </c>
      <c r="E719" s="537" t="s">
        <v>153</v>
      </c>
      <c r="F719" s="537" t="s">
        <v>159</v>
      </c>
      <c r="G719" s="537" t="s">
        <v>202</v>
      </c>
      <c r="H719" s="537"/>
      <c r="I719" s="537"/>
      <c r="J719" s="537"/>
      <c r="K719" s="537"/>
      <c r="L719" s="537"/>
      <c r="M719" s="537"/>
      <c r="N719" s="537"/>
      <c r="O719" s="537"/>
      <c r="P719" s="537"/>
      <c r="Q719" s="537"/>
      <c r="R719" s="537"/>
      <c r="S719" s="537"/>
      <c r="T719" s="537">
        <v>177</v>
      </c>
      <c r="U719" s="537" t="s">
        <v>152</v>
      </c>
    </row>
    <row r="720" spans="1:21" ht="15" customHeight="1" x14ac:dyDescent="0.2">
      <c r="A720" s="537" t="str">
        <f t="shared" si="20"/>
        <v>Moray.2013.Accommodation - Establishments.Non-Serviced Accommodation 2</v>
      </c>
      <c r="B720" s="537" t="s">
        <v>196</v>
      </c>
      <c r="C720" s="537" t="str">
        <f t="shared" si="21"/>
        <v>2013.Accommodation - Establishments.Non-Serviced Accommodation 2</v>
      </c>
      <c r="D720" s="537" t="s">
        <v>208</v>
      </c>
      <c r="E720" s="537" t="s">
        <v>153</v>
      </c>
      <c r="F720" s="537" t="s">
        <v>160</v>
      </c>
      <c r="G720" s="537" t="s">
        <v>203</v>
      </c>
      <c r="H720" s="537"/>
      <c r="I720" s="537"/>
      <c r="J720" s="537"/>
      <c r="K720" s="537"/>
      <c r="L720" s="537"/>
      <c r="M720" s="537"/>
      <c r="N720" s="537"/>
      <c r="O720" s="537"/>
      <c r="P720" s="537"/>
      <c r="Q720" s="537"/>
      <c r="R720" s="537"/>
      <c r="S720" s="537"/>
      <c r="T720" s="537">
        <v>19</v>
      </c>
      <c r="U720" s="537" t="s">
        <v>152</v>
      </c>
    </row>
    <row r="721" spans="1:21" ht="15" customHeight="1" x14ac:dyDescent="0.2">
      <c r="A721" s="537" t="str">
        <f t="shared" si="20"/>
        <v>Moray.2013.Accommodation - Establishments.Non-Serviced Accommodation 3</v>
      </c>
      <c r="B721" s="537" t="s">
        <v>196</v>
      </c>
      <c r="C721" s="537" t="str">
        <f t="shared" si="21"/>
        <v>2013.Accommodation - Establishments.Non-Serviced Accommodation 3</v>
      </c>
      <c r="D721" s="537" t="s">
        <v>208</v>
      </c>
      <c r="E721" s="537" t="s">
        <v>153</v>
      </c>
      <c r="F721" s="537" t="s">
        <v>161</v>
      </c>
      <c r="G721" s="537" t="s">
        <v>194</v>
      </c>
      <c r="H721" s="537"/>
      <c r="I721" s="537"/>
      <c r="J721" s="537"/>
      <c r="K721" s="537"/>
      <c r="L721" s="537"/>
      <c r="M721" s="537"/>
      <c r="N721" s="537"/>
      <c r="O721" s="537"/>
      <c r="P721" s="537"/>
      <c r="Q721" s="537"/>
      <c r="R721" s="537"/>
      <c r="S721" s="537"/>
      <c r="T721" s="537" t="s">
        <v>194</v>
      </c>
      <c r="U721" s="537" t="s">
        <v>152</v>
      </c>
    </row>
    <row r="722" spans="1:21" ht="15" customHeight="1" x14ac:dyDescent="0.2">
      <c r="A722" s="537" t="str">
        <f t="shared" si="20"/>
        <v>Moray.2013.Accommodation - Establishments.Non-Serviced Accommodation 4</v>
      </c>
      <c r="B722" s="537" t="s">
        <v>196</v>
      </c>
      <c r="C722" s="537" t="str">
        <f t="shared" si="21"/>
        <v>2013.Accommodation - Establishments.Non-Serviced Accommodation 4</v>
      </c>
      <c r="D722" s="537" t="s">
        <v>208</v>
      </c>
      <c r="E722" s="537" t="s">
        <v>153</v>
      </c>
      <c r="F722" s="537" t="s">
        <v>162</v>
      </c>
      <c r="G722" s="537" t="s">
        <v>194</v>
      </c>
      <c r="H722" s="537"/>
      <c r="I722" s="537"/>
      <c r="J722" s="537"/>
      <c r="K722" s="537"/>
      <c r="L722" s="537"/>
      <c r="M722" s="537"/>
      <c r="N722" s="537"/>
      <c r="O722" s="537"/>
      <c r="P722" s="537"/>
      <c r="Q722" s="537"/>
      <c r="R722" s="537"/>
      <c r="S722" s="537"/>
      <c r="T722" s="537" t="s">
        <v>194</v>
      </c>
      <c r="U722" s="537" t="s">
        <v>152</v>
      </c>
    </row>
    <row r="723" spans="1:21" ht="15" customHeight="1" x14ac:dyDescent="0.2">
      <c r="A723" s="537" t="str">
        <f t="shared" si="20"/>
        <v>Moray.2013.Accommodation - Establishments.Non-Serviced Accommodation 5</v>
      </c>
      <c r="B723" s="537" t="s">
        <v>196</v>
      </c>
      <c r="C723" s="537" t="str">
        <f t="shared" si="21"/>
        <v>2013.Accommodation - Establishments.Non-Serviced Accommodation 5</v>
      </c>
      <c r="D723" s="537" t="s">
        <v>208</v>
      </c>
      <c r="E723" s="537" t="s">
        <v>153</v>
      </c>
      <c r="F723" s="537" t="s">
        <v>163</v>
      </c>
      <c r="G723" s="537" t="s">
        <v>194</v>
      </c>
      <c r="H723" s="537"/>
      <c r="I723" s="537"/>
      <c r="J723" s="537"/>
      <c r="K723" s="537"/>
      <c r="L723" s="537"/>
      <c r="M723" s="537"/>
      <c r="N723" s="537"/>
      <c r="O723" s="537"/>
      <c r="P723" s="537"/>
      <c r="Q723" s="537"/>
      <c r="R723" s="537"/>
      <c r="S723" s="537"/>
      <c r="T723" s="537" t="s">
        <v>194</v>
      </c>
      <c r="U723" s="537" t="s">
        <v>152</v>
      </c>
    </row>
    <row r="724" spans="1:21" ht="15" customHeight="1" x14ac:dyDescent="0.2">
      <c r="A724" s="537" t="str">
        <f t="shared" si="20"/>
        <v>Moray.2013.Accommodation - Establishments.Non-Serviced Accommodation Total</v>
      </c>
      <c r="B724" s="537" t="s">
        <v>196</v>
      </c>
      <c r="C724" s="537" t="str">
        <f t="shared" si="21"/>
        <v>2013.Accommodation - Establishments.Non-Serviced Accommodation Total</v>
      </c>
      <c r="D724" s="537" t="s">
        <v>208</v>
      </c>
      <c r="E724" s="537" t="s">
        <v>153</v>
      </c>
      <c r="F724" s="537" t="s">
        <v>165</v>
      </c>
      <c r="G724" s="537" t="s">
        <v>204</v>
      </c>
      <c r="H724" s="537"/>
      <c r="I724" s="537"/>
      <c r="J724" s="537"/>
      <c r="K724" s="537"/>
      <c r="L724" s="537"/>
      <c r="M724" s="537"/>
      <c r="N724" s="537"/>
      <c r="O724" s="537"/>
      <c r="P724" s="537"/>
      <c r="Q724" s="537"/>
      <c r="R724" s="537"/>
      <c r="S724" s="537"/>
      <c r="T724" s="537">
        <v>196</v>
      </c>
      <c r="U724" s="537" t="s">
        <v>152</v>
      </c>
    </row>
    <row r="725" spans="1:21" ht="15" customHeight="1" x14ac:dyDescent="0.2">
      <c r="A725" s="537" t="str">
        <f t="shared" si="20"/>
        <v>Moray.2013.Accommodation - Establishments.All Accommodation Types</v>
      </c>
      <c r="B725" s="537" t="s">
        <v>196</v>
      </c>
      <c r="C725" s="537" t="str">
        <f t="shared" si="21"/>
        <v>2013.Accommodation - Establishments.All Accommodation Types</v>
      </c>
      <c r="D725" s="537" t="s">
        <v>208</v>
      </c>
      <c r="E725" s="537" t="s">
        <v>153</v>
      </c>
      <c r="F725" s="537" t="s">
        <v>166</v>
      </c>
      <c r="G725" s="537" t="s">
        <v>39</v>
      </c>
      <c r="H725" s="537"/>
      <c r="I725" s="537"/>
      <c r="J725" s="537"/>
      <c r="K725" s="537"/>
      <c r="L725" s="537"/>
      <c r="M725" s="537"/>
      <c r="N725" s="537"/>
      <c r="O725" s="537"/>
      <c r="P725" s="537"/>
      <c r="Q725" s="537"/>
      <c r="R725" s="537"/>
      <c r="S725" s="537"/>
      <c r="T725" s="537">
        <v>408</v>
      </c>
      <c r="U725" s="537" t="s">
        <v>152</v>
      </c>
    </row>
    <row r="726" spans="1:21" x14ac:dyDescent="0.2">
      <c r="A726" s="537" t="str">
        <f t="shared" si="20"/>
        <v>Moray.2013.Accommodation - Bed Spaces.Serviced Accommodation 1</v>
      </c>
      <c r="B726" s="537" t="s">
        <v>196</v>
      </c>
      <c r="C726" s="537" t="str">
        <f t="shared" si="21"/>
        <v>2013.Accommodation - Bed Spaces.Serviced Accommodation 1</v>
      </c>
      <c r="D726" s="537" t="s">
        <v>208</v>
      </c>
      <c r="E726" s="537" t="s">
        <v>167</v>
      </c>
      <c r="F726" s="537" t="s">
        <v>154</v>
      </c>
      <c r="G726" s="537" t="s">
        <v>198</v>
      </c>
      <c r="H726" s="537"/>
      <c r="I726" s="537"/>
      <c r="J726" s="537"/>
      <c r="K726" s="537"/>
      <c r="L726" s="537"/>
      <c r="M726" s="537"/>
      <c r="N726" s="537"/>
      <c r="O726" s="537"/>
      <c r="P726" s="537"/>
      <c r="Q726" s="537"/>
      <c r="R726" s="537"/>
      <c r="S726" s="537"/>
      <c r="T726" s="537">
        <v>219</v>
      </c>
      <c r="U726" s="537" t="s">
        <v>59</v>
      </c>
    </row>
    <row r="727" spans="1:21" x14ac:dyDescent="0.2">
      <c r="A727" s="537" t="str">
        <f t="shared" si="20"/>
        <v>Moray.2013.Accommodation - Bed Spaces.Serviced Accommodation 2</v>
      </c>
      <c r="B727" s="537" t="s">
        <v>196</v>
      </c>
      <c r="C727" s="537" t="str">
        <f t="shared" si="21"/>
        <v>2013.Accommodation - Bed Spaces.Serviced Accommodation 2</v>
      </c>
      <c r="D727" s="537" t="s">
        <v>208</v>
      </c>
      <c r="E727" s="537" t="s">
        <v>167</v>
      </c>
      <c r="F727" s="537" t="s">
        <v>155</v>
      </c>
      <c r="G727" s="537" t="s">
        <v>199</v>
      </c>
      <c r="H727" s="537"/>
      <c r="I727" s="537"/>
      <c r="J727" s="537"/>
      <c r="K727" s="537"/>
      <c r="L727" s="537"/>
      <c r="M727" s="537"/>
      <c r="N727" s="537"/>
      <c r="O727" s="537"/>
      <c r="P727" s="537"/>
      <c r="Q727" s="537"/>
      <c r="R727" s="537"/>
      <c r="S727" s="537"/>
      <c r="T727" s="537">
        <v>275</v>
      </c>
      <c r="U727" s="537" t="s">
        <v>59</v>
      </c>
    </row>
    <row r="728" spans="1:21" x14ac:dyDescent="0.2">
      <c r="A728" s="537" t="str">
        <f t="shared" si="20"/>
        <v>Moray.2013.Accommodation - Bed Spaces.Serviced Accommodation 3</v>
      </c>
      <c r="B728" s="537" t="s">
        <v>196</v>
      </c>
      <c r="C728" s="537" t="str">
        <f t="shared" si="21"/>
        <v>2013.Accommodation - Bed Spaces.Serviced Accommodation 3</v>
      </c>
      <c r="D728" s="537" t="s">
        <v>208</v>
      </c>
      <c r="E728" s="537" t="s">
        <v>167</v>
      </c>
      <c r="F728" s="537" t="s">
        <v>156</v>
      </c>
      <c r="G728" s="537" t="s">
        <v>200</v>
      </c>
      <c r="H728" s="537"/>
      <c r="I728" s="537"/>
      <c r="J728" s="537"/>
      <c r="K728" s="537"/>
      <c r="L728" s="537"/>
      <c r="M728" s="537"/>
      <c r="N728" s="537"/>
      <c r="O728" s="537"/>
      <c r="P728" s="537"/>
      <c r="Q728" s="537"/>
      <c r="R728" s="537"/>
      <c r="S728" s="537"/>
      <c r="T728" s="537">
        <v>1203</v>
      </c>
      <c r="U728" s="537" t="s">
        <v>59</v>
      </c>
    </row>
    <row r="729" spans="1:21" x14ac:dyDescent="0.2">
      <c r="A729" s="537" t="str">
        <f t="shared" si="20"/>
        <v>Moray.2013.Accommodation - Bed Spaces.Serviced Accommodation 4</v>
      </c>
      <c r="B729" s="537" t="s">
        <v>196</v>
      </c>
      <c r="C729" s="537" t="str">
        <f t="shared" si="21"/>
        <v>2013.Accommodation - Bed Spaces.Serviced Accommodation 4</v>
      </c>
      <c r="D729" s="537" t="s">
        <v>208</v>
      </c>
      <c r="E729" s="537" t="s">
        <v>167</v>
      </c>
      <c r="F729" s="537" t="s">
        <v>157</v>
      </c>
      <c r="G729" s="537" t="s">
        <v>201</v>
      </c>
      <c r="H729" s="537"/>
      <c r="I729" s="537"/>
      <c r="J729" s="537"/>
      <c r="K729" s="537"/>
      <c r="L729" s="537"/>
      <c r="M729" s="537"/>
      <c r="N729" s="537"/>
      <c r="O729" s="537"/>
      <c r="P729" s="537"/>
      <c r="Q729" s="537"/>
      <c r="R729" s="537"/>
      <c r="S729" s="537"/>
      <c r="T729" s="537">
        <v>953</v>
      </c>
      <c r="U729" s="537" t="s">
        <v>59</v>
      </c>
    </row>
    <row r="730" spans="1:21" x14ac:dyDescent="0.2">
      <c r="A730" s="537" t="str">
        <f t="shared" si="20"/>
        <v>Moray.2013.Accommodation - Bed Spaces.Serviced Accommodation 5</v>
      </c>
      <c r="B730" s="537" t="s">
        <v>196</v>
      </c>
      <c r="C730" s="537" t="str">
        <f t="shared" si="21"/>
        <v>2013.Accommodation - Bed Spaces.Serviced Accommodation 5</v>
      </c>
      <c r="D730" s="537" t="s">
        <v>208</v>
      </c>
      <c r="E730" s="537" t="s">
        <v>167</v>
      </c>
      <c r="F730" s="537" t="s">
        <v>158</v>
      </c>
      <c r="G730" s="537" t="s">
        <v>194</v>
      </c>
      <c r="H730" s="537"/>
      <c r="I730" s="537"/>
      <c r="J730" s="537"/>
      <c r="K730" s="537"/>
      <c r="L730" s="537"/>
      <c r="M730" s="537"/>
      <c r="N730" s="537"/>
      <c r="O730" s="537"/>
      <c r="P730" s="537"/>
      <c r="Q730" s="537"/>
      <c r="R730" s="537"/>
      <c r="S730" s="537"/>
      <c r="T730" s="537" t="s">
        <v>194</v>
      </c>
      <c r="U730" s="537" t="s">
        <v>59</v>
      </c>
    </row>
    <row r="731" spans="1:21" x14ac:dyDescent="0.2">
      <c r="A731" s="537" t="str">
        <f t="shared" si="20"/>
        <v>Moray.2013.Accommodation - Bed Spaces.Serviced Accommodation Total</v>
      </c>
      <c r="B731" s="537" t="s">
        <v>196</v>
      </c>
      <c r="C731" s="537" t="str">
        <f t="shared" si="21"/>
        <v>2013.Accommodation - Bed Spaces.Serviced Accommodation Total</v>
      </c>
      <c r="D731" s="537" t="s">
        <v>208</v>
      </c>
      <c r="E731" s="537" t="s">
        <v>167</v>
      </c>
      <c r="F731" s="537" t="s">
        <v>164</v>
      </c>
      <c r="G731" s="537" t="s">
        <v>195</v>
      </c>
      <c r="H731" s="537"/>
      <c r="I731" s="537"/>
      <c r="J731" s="537"/>
      <c r="K731" s="537"/>
      <c r="L731" s="537"/>
      <c r="M731" s="537"/>
      <c r="N731" s="537"/>
      <c r="O731" s="537"/>
      <c r="P731" s="537"/>
      <c r="Q731" s="537"/>
      <c r="R731" s="537"/>
      <c r="S731" s="537"/>
      <c r="T731" s="537">
        <v>2650</v>
      </c>
      <c r="U731" s="537" t="s">
        <v>59</v>
      </c>
    </row>
    <row r="732" spans="1:21" x14ac:dyDescent="0.2">
      <c r="A732" s="537" t="str">
        <f t="shared" si="20"/>
        <v>Moray.2013.Accommodation - Bed Spaces.Non-Serviced Accommodation 1</v>
      </c>
      <c r="B732" s="537" t="s">
        <v>196</v>
      </c>
      <c r="C732" s="537" t="str">
        <f t="shared" si="21"/>
        <v>2013.Accommodation - Bed Spaces.Non-Serviced Accommodation 1</v>
      </c>
      <c r="D732" s="537" t="s">
        <v>208</v>
      </c>
      <c r="E732" s="537" t="s">
        <v>167</v>
      </c>
      <c r="F732" s="537" t="s">
        <v>159</v>
      </c>
      <c r="G732" s="537" t="s">
        <v>202</v>
      </c>
      <c r="H732" s="537"/>
      <c r="I732" s="537"/>
      <c r="J732" s="537"/>
      <c r="K732" s="537"/>
      <c r="L732" s="537"/>
      <c r="M732" s="537"/>
      <c r="N732" s="537"/>
      <c r="O732" s="537"/>
      <c r="P732" s="537"/>
      <c r="Q732" s="537"/>
      <c r="R732" s="537"/>
      <c r="S732" s="537"/>
      <c r="T732" s="537">
        <v>2014</v>
      </c>
      <c r="U732" s="537" t="s">
        <v>59</v>
      </c>
    </row>
    <row r="733" spans="1:21" x14ac:dyDescent="0.2">
      <c r="A733" s="537" t="str">
        <f t="shared" si="20"/>
        <v>Moray.2013.Accommodation - Bed Spaces.Non-Serviced Accommodation 2</v>
      </c>
      <c r="B733" s="537" t="s">
        <v>196</v>
      </c>
      <c r="C733" s="537" t="str">
        <f t="shared" si="21"/>
        <v>2013.Accommodation - Bed Spaces.Non-Serviced Accommodation 2</v>
      </c>
      <c r="D733" s="537" t="s">
        <v>208</v>
      </c>
      <c r="E733" s="537" t="s">
        <v>167</v>
      </c>
      <c r="F733" s="537" t="s">
        <v>160</v>
      </c>
      <c r="G733" s="537" t="s">
        <v>203</v>
      </c>
      <c r="H733" s="537"/>
      <c r="I733" s="537"/>
      <c r="J733" s="537"/>
      <c r="K733" s="537"/>
      <c r="L733" s="537"/>
      <c r="M733" s="537"/>
      <c r="N733" s="537"/>
      <c r="O733" s="537"/>
      <c r="P733" s="537"/>
      <c r="Q733" s="537"/>
      <c r="R733" s="537"/>
      <c r="S733" s="537"/>
      <c r="T733" s="537">
        <v>2211</v>
      </c>
      <c r="U733" s="537" t="s">
        <v>59</v>
      </c>
    </row>
    <row r="734" spans="1:21" x14ac:dyDescent="0.2">
      <c r="A734" s="537" t="str">
        <f t="shared" si="20"/>
        <v>Moray.2013.Accommodation - Bed Spaces.Non-Serviced Accommodation 3</v>
      </c>
      <c r="B734" s="537" t="s">
        <v>196</v>
      </c>
      <c r="C734" s="537" t="str">
        <f t="shared" si="21"/>
        <v>2013.Accommodation - Bed Spaces.Non-Serviced Accommodation 3</v>
      </c>
      <c r="D734" s="537" t="s">
        <v>208</v>
      </c>
      <c r="E734" s="537" t="s">
        <v>167</v>
      </c>
      <c r="F734" s="537" t="s">
        <v>161</v>
      </c>
      <c r="G734" s="537" t="s">
        <v>194</v>
      </c>
      <c r="H734" s="537"/>
      <c r="I734" s="537"/>
      <c r="J734" s="537"/>
      <c r="K734" s="537"/>
      <c r="L734" s="537"/>
      <c r="M734" s="537"/>
      <c r="N734" s="537"/>
      <c r="O734" s="537"/>
      <c r="P734" s="537"/>
      <c r="Q734" s="537"/>
      <c r="R734" s="537"/>
      <c r="S734" s="537"/>
      <c r="T734" s="537" t="s">
        <v>194</v>
      </c>
      <c r="U734" s="537" t="s">
        <v>59</v>
      </c>
    </row>
    <row r="735" spans="1:21" x14ac:dyDescent="0.2">
      <c r="A735" s="537" t="str">
        <f t="shared" si="20"/>
        <v>Moray.2013.Accommodation - Bed Spaces.Non-Serviced Accommodation 4</v>
      </c>
      <c r="B735" s="537" t="s">
        <v>196</v>
      </c>
      <c r="C735" s="537" t="str">
        <f t="shared" si="21"/>
        <v>2013.Accommodation - Bed Spaces.Non-Serviced Accommodation 4</v>
      </c>
      <c r="D735" s="537" t="s">
        <v>208</v>
      </c>
      <c r="E735" s="537" t="s">
        <v>167</v>
      </c>
      <c r="F735" s="537" t="s">
        <v>162</v>
      </c>
      <c r="G735" s="537" t="s">
        <v>194</v>
      </c>
      <c r="H735" s="537"/>
      <c r="I735" s="537"/>
      <c r="J735" s="537"/>
      <c r="K735" s="537"/>
      <c r="L735" s="537"/>
      <c r="M735" s="537"/>
      <c r="N735" s="537"/>
      <c r="O735" s="537"/>
      <c r="P735" s="537"/>
      <c r="Q735" s="537"/>
      <c r="R735" s="537"/>
      <c r="S735" s="537"/>
      <c r="T735" s="537" t="s">
        <v>194</v>
      </c>
      <c r="U735" s="537" t="s">
        <v>59</v>
      </c>
    </row>
    <row r="736" spans="1:21" x14ac:dyDescent="0.2">
      <c r="A736" s="537" t="str">
        <f t="shared" si="20"/>
        <v>Moray.2013.Accommodation - Bed Spaces.Non-Serviced Accommodation 5</v>
      </c>
      <c r="B736" s="537" t="s">
        <v>196</v>
      </c>
      <c r="C736" s="537" t="str">
        <f t="shared" si="21"/>
        <v>2013.Accommodation - Bed Spaces.Non-Serviced Accommodation 5</v>
      </c>
      <c r="D736" s="537" t="s">
        <v>208</v>
      </c>
      <c r="E736" s="537" t="s">
        <v>167</v>
      </c>
      <c r="F736" s="537" t="s">
        <v>163</v>
      </c>
      <c r="G736" s="537" t="s">
        <v>194</v>
      </c>
      <c r="H736" s="537"/>
      <c r="I736" s="537"/>
      <c r="J736" s="537"/>
      <c r="K736" s="537"/>
      <c r="L736" s="537"/>
      <c r="M736" s="537"/>
      <c r="N736" s="537"/>
      <c r="O736" s="537"/>
      <c r="P736" s="537"/>
      <c r="Q736" s="537"/>
      <c r="R736" s="537"/>
      <c r="S736" s="537"/>
      <c r="T736" s="537" t="s">
        <v>194</v>
      </c>
      <c r="U736" s="537" t="s">
        <v>59</v>
      </c>
    </row>
    <row r="737" spans="1:21" x14ac:dyDescent="0.2">
      <c r="A737" s="537" t="str">
        <f t="shared" si="20"/>
        <v>Moray.2013.Accommodation - Bed Spaces.Non-Serviced Accommodation Total</v>
      </c>
      <c r="B737" s="537" t="s">
        <v>196</v>
      </c>
      <c r="C737" s="537" t="str">
        <f t="shared" si="21"/>
        <v>2013.Accommodation - Bed Spaces.Non-Serviced Accommodation Total</v>
      </c>
      <c r="D737" s="537" t="s">
        <v>208</v>
      </c>
      <c r="E737" s="537" t="s">
        <v>167</v>
      </c>
      <c r="F737" s="537" t="s">
        <v>165</v>
      </c>
      <c r="G737" s="537" t="s">
        <v>204</v>
      </c>
      <c r="H737" s="537"/>
      <c r="I737" s="537"/>
      <c r="J737" s="537"/>
      <c r="K737" s="537"/>
      <c r="L737" s="537"/>
      <c r="M737" s="537"/>
      <c r="N737" s="537"/>
      <c r="O737" s="537"/>
      <c r="P737" s="537"/>
      <c r="Q737" s="537"/>
      <c r="R737" s="537"/>
      <c r="S737" s="537"/>
      <c r="T737" s="537">
        <v>4225</v>
      </c>
      <c r="U737" s="537" t="s">
        <v>59</v>
      </c>
    </row>
    <row r="738" spans="1:21" x14ac:dyDescent="0.2">
      <c r="A738" s="537" t="str">
        <f t="shared" si="20"/>
        <v>Moray.2013.Accommodation - Bed Spaces.All Accommodation Types</v>
      </c>
      <c r="B738" s="537" t="s">
        <v>196</v>
      </c>
      <c r="C738" s="537" t="str">
        <f t="shared" si="21"/>
        <v>2013.Accommodation - Bed Spaces.All Accommodation Types</v>
      </c>
      <c r="D738" s="537" t="s">
        <v>208</v>
      </c>
      <c r="E738" s="537" t="s">
        <v>167</v>
      </c>
      <c r="F738" s="537" t="s">
        <v>166</v>
      </c>
      <c r="G738" s="537" t="s">
        <v>39</v>
      </c>
      <c r="H738" s="537"/>
      <c r="I738" s="537"/>
      <c r="J738" s="537"/>
      <c r="K738" s="537"/>
      <c r="L738" s="537"/>
      <c r="M738" s="537"/>
      <c r="N738" s="537"/>
      <c r="O738" s="537"/>
      <c r="P738" s="537"/>
      <c r="Q738" s="537"/>
      <c r="R738" s="537"/>
      <c r="S738" s="537"/>
      <c r="T738" s="537">
        <v>6875</v>
      </c>
      <c r="U738" s="537" t="s">
        <v>59</v>
      </c>
    </row>
    <row r="739" spans="1:21" hidden="1" x14ac:dyDescent="0.2">
      <c r="A739" s="537" t="str">
        <f t="shared" si="20"/>
        <v>BLANK...</v>
      </c>
      <c r="B739" s="537" t="s">
        <v>193</v>
      </c>
      <c r="C739" s="537" t="str">
        <f t="shared" si="21"/>
        <v>..</v>
      </c>
      <c r="D739" s="537"/>
      <c r="E739" s="537"/>
      <c r="F739" s="537"/>
      <c r="G739" s="537"/>
      <c r="H739" s="537"/>
      <c r="I739" s="537"/>
      <c r="J739" s="537"/>
      <c r="K739" s="537"/>
      <c r="L739" s="537"/>
      <c r="M739" s="537"/>
      <c r="N739" s="537"/>
      <c r="O739" s="537"/>
      <c r="P739" s="537"/>
      <c r="Q739" s="537"/>
      <c r="R739" s="537"/>
      <c r="S739" s="537"/>
      <c r="T739" s="537"/>
      <c r="U739" s="537"/>
    </row>
    <row r="740" spans="1:21" hidden="1" x14ac:dyDescent="0.2">
      <c r="A740" s="537" t="str">
        <f t="shared" si="20"/>
        <v>BLANK...</v>
      </c>
      <c r="B740" s="537" t="s">
        <v>193</v>
      </c>
      <c r="C740" s="537" t="str">
        <f t="shared" si="21"/>
        <v>..</v>
      </c>
      <c r="D740" s="537"/>
      <c r="E740" s="537"/>
      <c r="F740" s="537"/>
      <c r="G740" s="537"/>
      <c r="H740" s="537"/>
      <c r="I740" s="537"/>
      <c r="J740" s="537"/>
      <c r="K740" s="537"/>
      <c r="L740" s="537"/>
      <c r="M740" s="537"/>
      <c r="N740" s="537"/>
      <c r="O740" s="537"/>
      <c r="P740" s="537"/>
      <c r="Q740" s="537"/>
      <c r="R740" s="537"/>
      <c r="S740" s="537"/>
      <c r="T740" s="537"/>
      <c r="U740" s="537"/>
    </row>
    <row r="741" spans="1:21" hidden="1" x14ac:dyDescent="0.2">
      <c r="A741" s="537" t="str">
        <f t="shared" si="20"/>
        <v>BLANK...</v>
      </c>
      <c r="B741" s="537" t="s">
        <v>193</v>
      </c>
      <c r="C741" s="537" t="str">
        <f t="shared" si="21"/>
        <v>..</v>
      </c>
      <c r="D741" s="537"/>
      <c r="E741" s="537"/>
      <c r="F741" s="537"/>
      <c r="G741" s="537"/>
      <c r="H741" s="537"/>
      <c r="I741" s="537"/>
      <c r="J741" s="537"/>
      <c r="K741" s="537"/>
      <c r="L741" s="537"/>
      <c r="M741" s="537"/>
      <c r="N741" s="537"/>
      <c r="O741" s="537"/>
      <c r="P741" s="537"/>
      <c r="Q741" s="537"/>
      <c r="R741" s="537"/>
      <c r="S741" s="537"/>
      <c r="T741" s="537"/>
      <c r="U741" s="537"/>
    </row>
    <row r="742" spans="1:21" hidden="1" x14ac:dyDescent="0.2">
      <c r="A742" s="537" t="str">
        <f t="shared" si="20"/>
        <v>BLANK...</v>
      </c>
      <c r="B742" s="537" t="s">
        <v>193</v>
      </c>
      <c r="C742" s="537" t="str">
        <f t="shared" si="21"/>
        <v>..</v>
      </c>
      <c r="D742" s="537"/>
      <c r="E742" s="537"/>
      <c r="F742" s="537"/>
      <c r="G742" s="537"/>
      <c r="H742" s="537"/>
      <c r="I742" s="537"/>
      <c r="J742" s="537"/>
      <c r="K742" s="537"/>
      <c r="L742" s="537"/>
      <c r="M742" s="537"/>
      <c r="N742" s="537"/>
      <c r="O742" s="537"/>
      <c r="P742" s="537"/>
      <c r="Q742" s="537"/>
      <c r="R742" s="537"/>
      <c r="S742" s="537"/>
      <c r="T742" s="537"/>
      <c r="U742" s="537"/>
    </row>
    <row r="743" spans="1:21" hidden="1" x14ac:dyDescent="0.2">
      <c r="A743" s="537" t="str">
        <f t="shared" si="20"/>
        <v>BLANK...</v>
      </c>
      <c r="B743" s="537" t="s">
        <v>193</v>
      </c>
      <c r="C743" s="537" t="str">
        <f t="shared" si="21"/>
        <v>..</v>
      </c>
      <c r="D743" s="537"/>
      <c r="E743" s="537"/>
      <c r="F743" s="537"/>
      <c r="G743" s="537"/>
      <c r="H743" s="537"/>
      <c r="I743" s="537"/>
      <c r="J743" s="537"/>
      <c r="K743" s="537"/>
      <c r="L743" s="537"/>
      <c r="M743" s="537"/>
      <c r="N743" s="537"/>
      <c r="O743" s="537"/>
      <c r="P743" s="537"/>
      <c r="Q743" s="537"/>
      <c r="R743" s="537"/>
      <c r="S743" s="537"/>
      <c r="T743" s="537"/>
      <c r="U743" s="537"/>
    </row>
    <row r="744" spans="1:21" ht="15" hidden="1" customHeight="1" x14ac:dyDescent="0.2">
      <c r="A744" s="537" t="str">
        <f t="shared" si="20"/>
        <v>BLANK...</v>
      </c>
      <c r="B744" s="537" t="s">
        <v>193</v>
      </c>
      <c r="C744" s="537" t="str">
        <f t="shared" si="21"/>
        <v>..</v>
      </c>
      <c r="D744" s="537"/>
      <c r="E744" s="537"/>
      <c r="F744" s="537"/>
      <c r="G744" s="537"/>
      <c r="H744" s="537"/>
      <c r="I744" s="537"/>
      <c r="J744" s="537"/>
      <c r="K744" s="537"/>
      <c r="L744" s="537"/>
      <c r="M744" s="537"/>
      <c r="N744" s="537"/>
      <c r="O744" s="537"/>
      <c r="P744" s="537"/>
      <c r="Q744" s="537"/>
      <c r="R744" s="537"/>
      <c r="S744" s="537"/>
      <c r="T744" s="537"/>
      <c r="U744" s="537"/>
    </row>
    <row r="745" spans="1:21" ht="15" hidden="1" customHeight="1" x14ac:dyDescent="0.2">
      <c r="A745" s="537" t="str">
        <f t="shared" si="20"/>
        <v>BLANK...</v>
      </c>
      <c r="B745" s="537" t="s">
        <v>193</v>
      </c>
      <c r="C745" s="537" t="str">
        <f t="shared" si="21"/>
        <v>..</v>
      </c>
      <c r="D745" s="537"/>
      <c r="E745" s="537"/>
      <c r="F745" s="537"/>
      <c r="G745" s="537"/>
      <c r="H745" s="537"/>
      <c r="I745" s="537"/>
      <c r="J745" s="537"/>
      <c r="K745" s="537"/>
      <c r="L745" s="537"/>
      <c r="M745" s="537"/>
      <c r="N745" s="537"/>
      <c r="O745" s="537"/>
      <c r="P745" s="537"/>
      <c r="Q745" s="537"/>
      <c r="R745" s="537"/>
      <c r="S745" s="537"/>
      <c r="T745" s="537"/>
      <c r="U745" s="537"/>
    </row>
    <row r="746" spans="1:21" ht="15" hidden="1" customHeight="1" x14ac:dyDescent="0.2">
      <c r="A746" s="537" t="str">
        <f t="shared" si="20"/>
        <v>BLANK...</v>
      </c>
      <c r="B746" s="537" t="s">
        <v>193</v>
      </c>
      <c r="C746" s="537" t="str">
        <f t="shared" si="21"/>
        <v>..</v>
      </c>
      <c r="D746" s="537"/>
      <c r="E746" s="537"/>
      <c r="F746" s="537"/>
      <c r="G746" s="537"/>
      <c r="H746" s="537"/>
      <c r="I746" s="537"/>
      <c r="J746" s="537"/>
      <c r="K746" s="537"/>
      <c r="L746" s="537"/>
      <c r="M746" s="537"/>
      <c r="N746" s="537"/>
      <c r="O746" s="537"/>
      <c r="P746" s="537"/>
      <c r="Q746" s="537"/>
      <c r="R746" s="537"/>
      <c r="S746" s="537"/>
      <c r="T746" s="537"/>
      <c r="U746" s="537"/>
    </row>
    <row r="747" spans="1:21" ht="15" hidden="1" customHeight="1" x14ac:dyDescent="0.2">
      <c r="A747" s="537" t="str">
        <f t="shared" si="20"/>
        <v>BLANK...</v>
      </c>
      <c r="B747" s="537" t="s">
        <v>193</v>
      </c>
      <c r="C747" s="537" t="str">
        <f t="shared" si="21"/>
        <v>..</v>
      </c>
      <c r="D747" s="537"/>
      <c r="E747" s="537"/>
      <c r="F747" s="537"/>
      <c r="G747" s="537"/>
      <c r="H747" s="537"/>
      <c r="I747" s="537"/>
      <c r="J747" s="537"/>
      <c r="K747" s="537"/>
      <c r="L747" s="537"/>
      <c r="M747" s="537"/>
      <c r="N747" s="537"/>
      <c r="O747" s="537"/>
      <c r="P747" s="537"/>
      <c r="Q747" s="537"/>
      <c r="R747" s="537"/>
      <c r="S747" s="537"/>
      <c r="T747" s="537"/>
      <c r="U747" s="537"/>
    </row>
    <row r="748" spans="1:21" ht="15" hidden="1" customHeight="1" x14ac:dyDescent="0.2">
      <c r="A748" s="537" t="str">
        <f t="shared" si="20"/>
        <v>BLANK...</v>
      </c>
      <c r="B748" s="537" t="s">
        <v>193</v>
      </c>
      <c r="C748" s="537" t="str">
        <f t="shared" si="21"/>
        <v>..</v>
      </c>
      <c r="D748" s="537"/>
      <c r="E748" s="537"/>
      <c r="F748" s="537"/>
      <c r="G748" s="537"/>
      <c r="H748" s="537"/>
      <c r="I748" s="537"/>
      <c r="J748" s="537"/>
      <c r="K748" s="537"/>
      <c r="L748" s="537"/>
      <c r="M748" s="537"/>
      <c r="N748" s="537"/>
      <c r="O748" s="537"/>
      <c r="P748" s="537"/>
      <c r="Q748" s="537"/>
      <c r="R748" s="537"/>
      <c r="S748" s="537"/>
      <c r="T748" s="537"/>
      <c r="U748" s="537"/>
    </row>
    <row r="749" spans="1:21" ht="15" hidden="1" customHeight="1" x14ac:dyDescent="0.2">
      <c r="A749" s="537" t="str">
        <f t="shared" si="20"/>
        <v>BLANK...</v>
      </c>
      <c r="B749" s="537" t="s">
        <v>193</v>
      </c>
      <c r="C749" s="537" t="str">
        <f t="shared" si="21"/>
        <v>..</v>
      </c>
      <c r="D749" s="537"/>
      <c r="E749" s="537"/>
      <c r="F749" s="537"/>
      <c r="G749" s="537"/>
      <c r="H749" s="537"/>
      <c r="I749" s="537"/>
      <c r="J749" s="537"/>
      <c r="K749" s="537"/>
      <c r="L749" s="537"/>
      <c r="M749" s="537"/>
      <c r="N749" s="537"/>
      <c r="O749" s="537"/>
      <c r="P749" s="537"/>
      <c r="Q749" s="537"/>
      <c r="R749" s="537"/>
      <c r="S749" s="537"/>
      <c r="T749" s="537"/>
      <c r="U749" s="537"/>
    </row>
    <row r="750" spans="1:21" ht="15" hidden="1" customHeight="1" x14ac:dyDescent="0.2">
      <c r="A750" s="537" t="str">
        <f t="shared" si="20"/>
        <v>BLANK...</v>
      </c>
      <c r="B750" s="537" t="s">
        <v>193</v>
      </c>
      <c r="C750" s="537" t="str">
        <f t="shared" si="21"/>
        <v>..</v>
      </c>
      <c r="D750" s="537"/>
      <c r="E750" s="537"/>
      <c r="F750" s="537"/>
      <c r="G750" s="537"/>
      <c r="H750" s="537"/>
      <c r="I750" s="537"/>
      <c r="J750" s="537"/>
      <c r="K750" s="537"/>
      <c r="L750" s="537"/>
      <c r="M750" s="537"/>
      <c r="N750" s="537"/>
      <c r="O750" s="537"/>
      <c r="P750" s="537"/>
      <c r="Q750" s="537"/>
      <c r="R750" s="537"/>
      <c r="S750" s="537"/>
      <c r="T750" s="537"/>
      <c r="U750" s="537"/>
    </row>
    <row r="751" spans="1:21" ht="15" hidden="1" customHeight="1" x14ac:dyDescent="0.2">
      <c r="A751" s="537" t="str">
        <f t="shared" si="20"/>
        <v>BLANK...</v>
      </c>
      <c r="B751" s="537" t="s">
        <v>193</v>
      </c>
      <c r="C751" s="537" t="str">
        <f t="shared" si="21"/>
        <v>..</v>
      </c>
      <c r="D751" s="537"/>
      <c r="E751" s="537"/>
      <c r="F751" s="537"/>
      <c r="G751" s="537"/>
      <c r="H751" s="537"/>
      <c r="I751" s="537"/>
      <c r="J751" s="537"/>
      <c r="K751" s="537"/>
      <c r="L751" s="537"/>
      <c r="M751" s="537"/>
      <c r="N751" s="537"/>
      <c r="O751" s="537"/>
      <c r="P751" s="537"/>
      <c r="Q751" s="537"/>
      <c r="R751" s="537"/>
      <c r="S751" s="537"/>
      <c r="T751" s="537"/>
      <c r="U751" s="537"/>
    </row>
    <row r="752" spans="1:21" hidden="1" x14ac:dyDescent="0.2">
      <c r="A752" s="537" t="str">
        <f t="shared" si="20"/>
        <v>BLANK...</v>
      </c>
      <c r="B752" s="537" t="s">
        <v>193</v>
      </c>
      <c r="C752" s="537" t="str">
        <f t="shared" si="21"/>
        <v>..</v>
      </c>
      <c r="D752" s="537"/>
      <c r="E752" s="537"/>
      <c r="F752" s="537"/>
      <c r="G752" s="537"/>
      <c r="H752" s="537"/>
      <c r="I752" s="537"/>
      <c r="J752" s="537"/>
      <c r="K752" s="537"/>
      <c r="L752" s="537"/>
      <c r="M752" s="537"/>
      <c r="N752" s="537"/>
      <c r="O752" s="537"/>
      <c r="P752" s="537"/>
      <c r="Q752" s="537"/>
      <c r="R752" s="537"/>
      <c r="S752" s="537"/>
      <c r="T752" s="537"/>
      <c r="U752" s="537"/>
    </row>
    <row r="753" spans="1:21" hidden="1" x14ac:dyDescent="0.2">
      <c r="A753" s="537" t="str">
        <f t="shared" si="20"/>
        <v>BLANK...</v>
      </c>
      <c r="B753" s="537" t="s">
        <v>193</v>
      </c>
      <c r="C753" s="537" t="str">
        <f t="shared" si="21"/>
        <v>..</v>
      </c>
      <c r="D753" s="537"/>
      <c r="E753" s="537"/>
      <c r="F753" s="537"/>
      <c r="G753" s="537"/>
      <c r="H753" s="537"/>
      <c r="I753" s="537"/>
      <c r="J753" s="537"/>
      <c r="K753" s="537"/>
      <c r="L753" s="537"/>
      <c r="M753" s="537"/>
      <c r="N753" s="537"/>
      <c r="O753" s="537"/>
      <c r="P753" s="537"/>
      <c r="Q753" s="537"/>
      <c r="R753" s="537"/>
      <c r="S753" s="537"/>
      <c r="T753" s="537"/>
      <c r="U753" s="537"/>
    </row>
    <row r="754" spans="1:21" hidden="1" x14ac:dyDescent="0.2">
      <c r="A754" s="537" t="str">
        <f t="shared" si="20"/>
        <v>BLANK...</v>
      </c>
      <c r="B754" s="537" t="s">
        <v>193</v>
      </c>
      <c r="C754" s="537" t="str">
        <f t="shared" si="21"/>
        <v>..</v>
      </c>
      <c r="D754" s="537"/>
      <c r="E754" s="537"/>
      <c r="F754" s="537"/>
      <c r="G754" s="537"/>
      <c r="H754" s="537"/>
      <c r="I754" s="537"/>
      <c r="J754" s="537"/>
      <c r="K754" s="537"/>
      <c r="L754" s="537"/>
      <c r="M754" s="537"/>
      <c r="N754" s="537"/>
      <c r="O754" s="537"/>
      <c r="P754" s="537"/>
      <c r="Q754" s="537"/>
      <c r="R754" s="537"/>
      <c r="S754" s="537"/>
      <c r="T754" s="537"/>
      <c r="U754" s="537"/>
    </row>
    <row r="755" spans="1:21" hidden="1" x14ac:dyDescent="0.2">
      <c r="A755" s="537" t="str">
        <f t="shared" si="20"/>
        <v>BLANK...</v>
      </c>
      <c r="B755" s="537" t="s">
        <v>193</v>
      </c>
      <c r="C755" s="537" t="str">
        <f t="shared" si="21"/>
        <v>..</v>
      </c>
      <c r="D755" s="537"/>
      <c r="E755" s="537"/>
      <c r="F755" s="537"/>
      <c r="G755" s="537"/>
      <c r="H755" s="537"/>
      <c r="I755" s="537"/>
      <c r="J755" s="537"/>
      <c r="K755" s="537"/>
      <c r="L755" s="537"/>
      <c r="M755" s="537"/>
      <c r="N755" s="537"/>
      <c r="O755" s="537"/>
      <c r="P755" s="537"/>
      <c r="Q755" s="537"/>
      <c r="R755" s="537"/>
      <c r="S755" s="537"/>
      <c r="T755" s="537"/>
      <c r="U755" s="537"/>
    </row>
    <row r="756" spans="1:21" hidden="1" x14ac:dyDescent="0.2">
      <c r="A756" s="537" t="str">
        <f t="shared" si="20"/>
        <v>BLANK...</v>
      </c>
      <c r="B756" s="537" t="s">
        <v>193</v>
      </c>
      <c r="C756" s="537" t="str">
        <f t="shared" si="21"/>
        <v>..</v>
      </c>
      <c r="D756" s="537"/>
      <c r="E756" s="537"/>
      <c r="F756" s="537"/>
      <c r="G756" s="537"/>
      <c r="H756" s="537"/>
      <c r="I756" s="537"/>
      <c r="J756" s="537"/>
      <c r="K756" s="537"/>
      <c r="L756" s="537"/>
      <c r="M756" s="537"/>
      <c r="N756" s="537"/>
      <c r="O756" s="537"/>
      <c r="P756" s="537"/>
      <c r="Q756" s="537"/>
      <c r="R756" s="537"/>
      <c r="S756" s="537"/>
      <c r="T756" s="537"/>
      <c r="U756" s="537"/>
    </row>
    <row r="757" spans="1:21" hidden="1" x14ac:dyDescent="0.2">
      <c r="A757" s="537" t="str">
        <f t="shared" si="20"/>
        <v>BLANK...</v>
      </c>
      <c r="B757" s="537" t="s">
        <v>193</v>
      </c>
      <c r="C757" s="537" t="str">
        <f t="shared" si="21"/>
        <v>..</v>
      </c>
      <c r="D757" s="537"/>
      <c r="E757" s="537"/>
      <c r="F757" s="537"/>
      <c r="G757" s="537"/>
      <c r="H757" s="537"/>
      <c r="I757" s="537"/>
      <c r="J757" s="537"/>
      <c r="K757" s="537"/>
      <c r="L757" s="537"/>
      <c r="M757" s="537"/>
      <c r="N757" s="537"/>
      <c r="O757" s="537"/>
      <c r="P757" s="537"/>
      <c r="Q757" s="537"/>
      <c r="R757" s="537"/>
      <c r="S757" s="537"/>
      <c r="T757" s="537"/>
      <c r="U757" s="537"/>
    </row>
    <row r="758" spans="1:21" hidden="1" x14ac:dyDescent="0.2">
      <c r="A758" s="537" t="str">
        <f t="shared" si="20"/>
        <v>BLANK...</v>
      </c>
      <c r="B758" s="537" t="s">
        <v>193</v>
      </c>
      <c r="C758" s="537" t="str">
        <f t="shared" si="21"/>
        <v>..</v>
      </c>
      <c r="D758" s="537"/>
      <c r="E758" s="537"/>
      <c r="F758" s="537"/>
      <c r="G758" s="537"/>
      <c r="H758" s="537"/>
      <c r="I758" s="537"/>
      <c r="J758" s="537"/>
      <c r="K758" s="537"/>
      <c r="L758" s="537"/>
      <c r="M758" s="537"/>
      <c r="N758" s="537"/>
      <c r="O758" s="537"/>
      <c r="P758" s="537"/>
      <c r="Q758" s="537"/>
      <c r="R758" s="537"/>
      <c r="S758" s="537"/>
      <c r="T758" s="537"/>
      <c r="U758" s="537"/>
    </row>
    <row r="759" spans="1:21" hidden="1" x14ac:dyDescent="0.2">
      <c r="A759" s="537" t="str">
        <f t="shared" si="20"/>
        <v>BLANK...</v>
      </c>
      <c r="B759" s="537" t="s">
        <v>193</v>
      </c>
      <c r="C759" s="537" t="str">
        <f t="shared" si="21"/>
        <v>..</v>
      </c>
      <c r="D759" s="537"/>
      <c r="E759" s="537"/>
      <c r="F759" s="537"/>
      <c r="G759" s="537"/>
      <c r="H759" s="537"/>
      <c r="I759" s="537"/>
      <c r="J759" s="537"/>
      <c r="K759" s="537"/>
      <c r="L759" s="537"/>
      <c r="M759" s="537"/>
      <c r="N759" s="537"/>
      <c r="O759" s="537"/>
      <c r="P759" s="537"/>
      <c r="Q759" s="537"/>
      <c r="R759" s="537"/>
      <c r="S759" s="537"/>
      <c r="T759" s="537"/>
      <c r="U759" s="537"/>
    </row>
    <row r="760" spans="1:21" hidden="1" x14ac:dyDescent="0.2">
      <c r="A760" s="537" t="str">
        <f t="shared" si="20"/>
        <v>BLANK...</v>
      </c>
      <c r="B760" s="537" t="s">
        <v>193</v>
      </c>
      <c r="C760" s="537" t="str">
        <f t="shared" si="21"/>
        <v>..</v>
      </c>
      <c r="D760" s="537"/>
      <c r="E760" s="537"/>
      <c r="F760" s="537"/>
      <c r="G760" s="537"/>
      <c r="H760" s="537"/>
      <c r="I760" s="537"/>
      <c r="J760" s="537"/>
      <c r="K760" s="537"/>
      <c r="L760" s="537"/>
      <c r="M760" s="537"/>
      <c r="N760" s="537"/>
      <c r="O760" s="537"/>
      <c r="P760" s="537"/>
      <c r="Q760" s="537"/>
      <c r="R760" s="537"/>
      <c r="S760" s="537"/>
      <c r="T760" s="537"/>
      <c r="U760" s="537"/>
    </row>
    <row r="761" spans="1:21" hidden="1" x14ac:dyDescent="0.2">
      <c r="A761" s="537" t="str">
        <f t="shared" si="20"/>
        <v>BLANK...</v>
      </c>
      <c r="B761" s="537" t="s">
        <v>193</v>
      </c>
      <c r="C761" s="537" t="str">
        <f t="shared" si="21"/>
        <v>..</v>
      </c>
      <c r="D761" s="537"/>
      <c r="E761" s="537"/>
      <c r="F761" s="537"/>
      <c r="G761" s="537"/>
      <c r="H761" s="537"/>
      <c r="I761" s="537"/>
      <c r="J761" s="537"/>
      <c r="K761" s="537"/>
      <c r="L761" s="537"/>
      <c r="M761" s="537"/>
      <c r="N761" s="537"/>
      <c r="O761" s="537"/>
      <c r="P761" s="537"/>
      <c r="Q761" s="537"/>
      <c r="R761" s="537"/>
      <c r="S761" s="537"/>
      <c r="T761" s="537"/>
      <c r="U761" s="537"/>
    </row>
    <row r="762" spans="1:21" hidden="1" x14ac:dyDescent="0.2">
      <c r="A762" s="537" t="str">
        <f t="shared" si="20"/>
        <v>BLANK...</v>
      </c>
      <c r="B762" s="537" t="s">
        <v>193</v>
      </c>
      <c r="C762" s="537" t="str">
        <f t="shared" si="21"/>
        <v>..</v>
      </c>
      <c r="D762" s="537"/>
      <c r="E762" s="537"/>
      <c r="F762" s="537"/>
      <c r="G762" s="537"/>
      <c r="H762" s="537"/>
      <c r="I762" s="537"/>
      <c r="J762" s="537"/>
      <c r="K762" s="537"/>
      <c r="L762" s="537"/>
      <c r="M762" s="537"/>
      <c r="N762" s="537"/>
      <c r="O762" s="537"/>
      <c r="P762" s="537"/>
      <c r="Q762" s="537"/>
      <c r="R762" s="537"/>
      <c r="S762" s="537"/>
      <c r="T762" s="537"/>
      <c r="U762" s="537"/>
    </row>
    <row r="763" spans="1:21" hidden="1" x14ac:dyDescent="0.2">
      <c r="A763" s="537" t="str">
        <f t="shared" si="20"/>
        <v>BLANK...</v>
      </c>
      <c r="B763" s="537" t="s">
        <v>193</v>
      </c>
      <c r="C763" s="537" t="str">
        <f t="shared" si="21"/>
        <v>..</v>
      </c>
      <c r="D763" s="537"/>
      <c r="E763" s="537"/>
      <c r="F763" s="537"/>
      <c r="G763" s="537"/>
      <c r="H763" s="537"/>
      <c r="I763" s="537"/>
      <c r="J763" s="537"/>
      <c r="K763" s="537"/>
      <c r="L763" s="537"/>
      <c r="M763" s="537"/>
      <c r="N763" s="537"/>
      <c r="O763" s="537"/>
      <c r="P763" s="537"/>
      <c r="Q763" s="537"/>
      <c r="R763" s="537"/>
      <c r="S763" s="537"/>
      <c r="T763" s="537"/>
      <c r="U763" s="537"/>
    </row>
    <row r="764" spans="1:21" hidden="1" x14ac:dyDescent="0.2">
      <c r="A764" s="537" t="str">
        <f t="shared" si="20"/>
        <v>BLANK...</v>
      </c>
      <c r="B764" s="537" t="s">
        <v>193</v>
      </c>
      <c r="C764" s="537" t="str">
        <f t="shared" si="21"/>
        <v>..</v>
      </c>
      <c r="D764" s="537"/>
      <c r="E764" s="537"/>
      <c r="F764" s="537"/>
      <c r="G764" s="537"/>
      <c r="H764" s="537"/>
      <c r="I764" s="537"/>
      <c r="J764" s="537"/>
      <c r="K764" s="537"/>
      <c r="L764" s="537"/>
      <c r="M764" s="537"/>
      <c r="N764" s="537"/>
      <c r="O764" s="537"/>
      <c r="P764" s="537"/>
      <c r="Q764" s="537"/>
      <c r="R764" s="537"/>
      <c r="S764" s="537"/>
      <c r="T764" s="537"/>
      <c r="U764" s="537"/>
    </row>
    <row r="765" spans="1:21" hidden="1" x14ac:dyDescent="0.2">
      <c r="A765" s="537" t="str">
        <f t="shared" si="20"/>
        <v>BLANK...</v>
      </c>
      <c r="B765" s="537" t="s">
        <v>193</v>
      </c>
      <c r="C765" s="537" t="str">
        <f t="shared" si="21"/>
        <v>..</v>
      </c>
      <c r="D765" s="537"/>
      <c r="E765" s="537"/>
      <c r="F765" s="537"/>
      <c r="G765" s="537"/>
      <c r="H765" s="537"/>
      <c r="I765" s="537"/>
      <c r="J765" s="537"/>
      <c r="K765" s="537"/>
      <c r="L765" s="537"/>
      <c r="M765" s="537"/>
      <c r="N765" s="537"/>
      <c r="O765" s="537"/>
      <c r="P765" s="537"/>
      <c r="Q765" s="537"/>
      <c r="R765" s="537"/>
      <c r="S765" s="537"/>
      <c r="T765" s="537"/>
      <c r="U765" s="537"/>
    </row>
    <row r="766" spans="1:21" hidden="1" x14ac:dyDescent="0.2">
      <c r="A766" s="537" t="str">
        <f t="shared" si="20"/>
        <v>BLANK...</v>
      </c>
      <c r="B766" s="537" t="s">
        <v>193</v>
      </c>
      <c r="C766" s="537" t="str">
        <f t="shared" si="21"/>
        <v>..</v>
      </c>
      <c r="D766" s="537"/>
      <c r="E766" s="537"/>
      <c r="F766" s="537"/>
      <c r="G766" s="537"/>
      <c r="H766" s="537"/>
      <c r="I766" s="537"/>
      <c r="J766" s="537"/>
      <c r="K766" s="537"/>
      <c r="L766" s="537"/>
      <c r="M766" s="537"/>
      <c r="N766" s="537"/>
      <c r="O766" s="537"/>
      <c r="P766" s="537"/>
      <c r="Q766" s="537"/>
      <c r="R766" s="537"/>
      <c r="S766" s="537"/>
      <c r="T766" s="537"/>
      <c r="U766" s="537"/>
    </row>
    <row r="767" spans="1:21" hidden="1" x14ac:dyDescent="0.2">
      <c r="A767" s="537" t="str">
        <f t="shared" si="20"/>
        <v>BLANK...</v>
      </c>
      <c r="B767" s="537" t="s">
        <v>193</v>
      </c>
      <c r="C767" s="537" t="str">
        <f t="shared" si="21"/>
        <v>..</v>
      </c>
      <c r="D767" s="537"/>
      <c r="E767" s="537"/>
      <c r="F767" s="537"/>
      <c r="G767" s="537"/>
      <c r="H767" s="537"/>
      <c r="I767" s="537"/>
      <c r="J767" s="537"/>
      <c r="K767" s="537"/>
      <c r="L767" s="537"/>
      <c r="M767" s="537"/>
      <c r="N767" s="537"/>
      <c r="O767" s="537"/>
      <c r="P767" s="537"/>
      <c r="Q767" s="537"/>
      <c r="R767" s="537"/>
      <c r="S767" s="537"/>
      <c r="T767" s="537"/>
      <c r="U767" s="537"/>
    </row>
    <row r="768" spans="1:21" hidden="1" x14ac:dyDescent="0.2">
      <c r="A768" s="537" t="str">
        <f t="shared" si="20"/>
        <v>BLANK...</v>
      </c>
      <c r="B768" s="537" t="s">
        <v>193</v>
      </c>
      <c r="C768" s="537" t="str">
        <f t="shared" si="21"/>
        <v>..</v>
      </c>
      <c r="D768" s="537"/>
      <c r="E768" s="537"/>
      <c r="F768" s="537"/>
      <c r="G768" s="537"/>
      <c r="H768" s="537"/>
      <c r="I768" s="537"/>
      <c r="J768" s="537"/>
      <c r="K768" s="537"/>
      <c r="L768" s="537"/>
      <c r="M768" s="537"/>
      <c r="N768" s="537"/>
      <c r="O768" s="537"/>
      <c r="P768" s="537"/>
      <c r="Q768" s="537"/>
      <c r="R768" s="537"/>
      <c r="S768" s="537"/>
      <c r="T768" s="537"/>
      <c r="U768" s="537"/>
    </row>
    <row r="769" spans="1:21" hidden="1" x14ac:dyDescent="0.2">
      <c r="A769" s="537" t="str">
        <f t="shared" si="20"/>
        <v>BLANK...</v>
      </c>
      <c r="B769" s="537" t="s">
        <v>193</v>
      </c>
      <c r="C769" s="537" t="str">
        <f t="shared" si="21"/>
        <v>..</v>
      </c>
      <c r="D769" s="537"/>
      <c r="E769" s="537"/>
      <c r="F769" s="537"/>
      <c r="G769" s="537"/>
      <c r="H769" s="537"/>
      <c r="I769" s="537"/>
      <c r="J769" s="537"/>
      <c r="K769" s="537"/>
      <c r="L769" s="537"/>
      <c r="M769" s="537"/>
      <c r="N769" s="537"/>
      <c r="O769" s="537"/>
      <c r="P769" s="537"/>
      <c r="Q769" s="537"/>
      <c r="R769" s="537"/>
      <c r="S769" s="537"/>
      <c r="T769" s="537"/>
      <c r="U769" s="537"/>
    </row>
    <row r="770" spans="1:21" ht="15" hidden="1" customHeight="1" x14ac:dyDescent="0.2">
      <c r="A770" s="537" t="str">
        <f t="shared" si="20"/>
        <v>BLANK...</v>
      </c>
      <c r="B770" s="537" t="s">
        <v>193</v>
      </c>
      <c r="C770" s="537" t="str">
        <f t="shared" si="21"/>
        <v>..</v>
      </c>
      <c r="D770" s="537"/>
      <c r="E770" s="537"/>
      <c r="F770" s="537"/>
      <c r="G770" s="537"/>
      <c r="H770" s="537"/>
      <c r="I770" s="537"/>
      <c r="J770" s="537"/>
      <c r="K770" s="537"/>
      <c r="L770" s="537"/>
      <c r="M770" s="537"/>
      <c r="N770" s="537"/>
      <c r="O770" s="537"/>
      <c r="P770" s="537"/>
      <c r="Q770" s="537"/>
      <c r="R770" s="537"/>
      <c r="S770" s="537"/>
      <c r="T770" s="537"/>
      <c r="U770" s="537"/>
    </row>
    <row r="771" spans="1:21" ht="15" hidden="1" customHeight="1" x14ac:dyDescent="0.2">
      <c r="A771" s="537" t="str">
        <f t="shared" si="20"/>
        <v>BLANK...</v>
      </c>
      <c r="B771" s="537" t="s">
        <v>193</v>
      </c>
      <c r="C771" s="537" t="str">
        <f t="shared" si="21"/>
        <v>..</v>
      </c>
      <c r="D771" s="537"/>
      <c r="E771" s="537"/>
      <c r="F771" s="537"/>
      <c r="G771" s="537"/>
      <c r="H771" s="537"/>
      <c r="I771" s="537"/>
      <c r="J771" s="537"/>
      <c r="K771" s="537"/>
      <c r="L771" s="537"/>
      <c r="M771" s="537"/>
      <c r="N771" s="537"/>
      <c r="O771" s="537"/>
      <c r="P771" s="537"/>
      <c r="Q771" s="537"/>
      <c r="R771" s="537"/>
      <c r="S771" s="537"/>
      <c r="T771" s="537"/>
      <c r="U771" s="537"/>
    </row>
    <row r="772" spans="1:21" ht="15" hidden="1" customHeight="1" x14ac:dyDescent="0.2">
      <c r="A772" s="537" t="str">
        <f t="shared" si="20"/>
        <v>BLANK...</v>
      </c>
      <c r="B772" s="537" t="s">
        <v>193</v>
      </c>
      <c r="C772" s="537" t="str">
        <f t="shared" si="21"/>
        <v>..</v>
      </c>
      <c r="D772" s="537"/>
      <c r="E772" s="537"/>
      <c r="F772" s="537"/>
      <c r="G772" s="537"/>
      <c r="H772" s="537"/>
      <c r="I772" s="537"/>
      <c r="J772" s="537"/>
      <c r="K772" s="537"/>
      <c r="L772" s="537"/>
      <c r="M772" s="537"/>
      <c r="N772" s="537"/>
      <c r="O772" s="537"/>
      <c r="P772" s="537"/>
      <c r="Q772" s="537"/>
      <c r="R772" s="537"/>
      <c r="S772" s="537"/>
      <c r="T772" s="537"/>
      <c r="U772" s="537"/>
    </row>
    <row r="773" spans="1:21" ht="15" hidden="1" customHeight="1" x14ac:dyDescent="0.2">
      <c r="A773" s="537" t="str">
        <f t="shared" si="20"/>
        <v>BLANK...</v>
      </c>
      <c r="B773" s="537" t="s">
        <v>193</v>
      </c>
      <c r="C773" s="537" t="str">
        <f t="shared" si="21"/>
        <v>..</v>
      </c>
      <c r="D773" s="537"/>
      <c r="E773" s="537"/>
      <c r="F773" s="537"/>
      <c r="G773" s="537"/>
      <c r="H773" s="537"/>
      <c r="I773" s="537"/>
      <c r="J773" s="537"/>
      <c r="K773" s="537"/>
      <c r="L773" s="537"/>
      <c r="M773" s="537"/>
      <c r="N773" s="537"/>
      <c r="O773" s="537"/>
      <c r="P773" s="537"/>
      <c r="Q773" s="537"/>
      <c r="R773" s="537"/>
      <c r="S773" s="537"/>
      <c r="T773" s="537"/>
      <c r="U773" s="537"/>
    </row>
    <row r="774" spans="1:21" ht="15" hidden="1" customHeight="1" x14ac:dyDescent="0.2">
      <c r="A774" s="537" t="str">
        <f t="shared" si="20"/>
        <v>BLANK...</v>
      </c>
      <c r="B774" s="537" t="s">
        <v>193</v>
      </c>
      <c r="C774" s="537" t="str">
        <f t="shared" si="21"/>
        <v>..</v>
      </c>
      <c r="D774" s="537"/>
      <c r="E774" s="537"/>
      <c r="F774" s="537"/>
      <c r="G774" s="537"/>
      <c r="H774" s="537"/>
      <c r="I774" s="537"/>
      <c r="J774" s="537"/>
      <c r="K774" s="537"/>
      <c r="L774" s="537"/>
      <c r="M774" s="537"/>
      <c r="N774" s="537"/>
      <c r="O774" s="537"/>
      <c r="P774" s="537"/>
      <c r="Q774" s="537"/>
      <c r="R774" s="537"/>
      <c r="S774" s="537"/>
      <c r="T774" s="537"/>
      <c r="U774" s="537"/>
    </row>
    <row r="775" spans="1:21" ht="15" hidden="1" customHeight="1" x14ac:dyDescent="0.2">
      <c r="A775" s="537" t="str">
        <f t="shared" si="20"/>
        <v>BLANK...</v>
      </c>
      <c r="B775" s="537" t="s">
        <v>193</v>
      </c>
      <c r="C775" s="537" t="str">
        <f t="shared" si="21"/>
        <v>..</v>
      </c>
      <c r="D775" s="537"/>
      <c r="E775" s="537"/>
      <c r="F775" s="537"/>
      <c r="G775" s="537"/>
      <c r="H775" s="537"/>
      <c r="I775" s="537"/>
      <c r="J775" s="537"/>
      <c r="K775" s="537"/>
      <c r="L775" s="537"/>
      <c r="M775" s="537"/>
      <c r="N775" s="537"/>
      <c r="O775" s="537"/>
      <c r="P775" s="537"/>
      <c r="Q775" s="537"/>
      <c r="R775" s="537"/>
      <c r="S775" s="537"/>
      <c r="T775" s="537"/>
      <c r="U775" s="537"/>
    </row>
    <row r="776" spans="1:21" ht="15" hidden="1" customHeight="1" x14ac:dyDescent="0.2">
      <c r="A776" s="537" t="str">
        <f t="shared" si="20"/>
        <v>BLANK...</v>
      </c>
      <c r="B776" s="537" t="s">
        <v>193</v>
      </c>
      <c r="C776" s="537" t="str">
        <f t="shared" si="21"/>
        <v>..</v>
      </c>
      <c r="D776" s="537"/>
      <c r="E776" s="537"/>
      <c r="F776" s="537"/>
      <c r="G776" s="537"/>
      <c r="H776" s="537"/>
      <c r="I776" s="537"/>
      <c r="J776" s="537"/>
      <c r="K776" s="537"/>
      <c r="L776" s="537"/>
      <c r="M776" s="537"/>
      <c r="N776" s="537"/>
      <c r="O776" s="537"/>
      <c r="P776" s="537"/>
      <c r="Q776" s="537"/>
      <c r="R776" s="537"/>
      <c r="S776" s="537"/>
      <c r="T776" s="537"/>
      <c r="U776" s="537"/>
    </row>
    <row r="777" spans="1:21" ht="15" hidden="1" customHeight="1" x14ac:dyDescent="0.2">
      <c r="A777" s="537" t="str">
        <f t="shared" si="20"/>
        <v>BLANK...</v>
      </c>
      <c r="B777" s="537" t="s">
        <v>193</v>
      </c>
      <c r="C777" s="537" t="str">
        <f t="shared" si="21"/>
        <v>..</v>
      </c>
      <c r="D777" s="537"/>
      <c r="E777" s="537"/>
      <c r="F777" s="537"/>
      <c r="G777" s="537"/>
      <c r="H777" s="537"/>
      <c r="I777" s="537"/>
      <c r="J777" s="537"/>
      <c r="K777" s="537"/>
      <c r="L777" s="537"/>
      <c r="M777" s="537"/>
      <c r="N777" s="537"/>
      <c r="O777" s="537"/>
      <c r="P777" s="537"/>
      <c r="Q777" s="537"/>
      <c r="R777" s="537"/>
      <c r="S777" s="537"/>
      <c r="T777" s="537"/>
      <c r="U777" s="537"/>
    </row>
    <row r="778" spans="1:21" hidden="1" x14ac:dyDescent="0.2">
      <c r="A778" s="537" t="str">
        <f t="shared" si="20"/>
        <v>BLANK...</v>
      </c>
      <c r="B778" s="537" t="s">
        <v>193</v>
      </c>
      <c r="C778" s="537" t="str">
        <f t="shared" si="21"/>
        <v>..</v>
      </c>
      <c r="D778" s="537"/>
      <c r="E778" s="537"/>
      <c r="F778" s="537"/>
      <c r="G778" s="537"/>
      <c r="H778" s="537"/>
      <c r="I778" s="537"/>
      <c r="J778" s="537"/>
      <c r="K778" s="537"/>
      <c r="L778" s="537"/>
      <c r="M778" s="537"/>
      <c r="N778" s="537"/>
      <c r="O778" s="537"/>
      <c r="P778" s="537"/>
      <c r="Q778" s="537"/>
      <c r="R778" s="537"/>
      <c r="S778" s="537"/>
      <c r="T778" s="537"/>
      <c r="U778" s="537"/>
    </row>
    <row r="779" spans="1:21" hidden="1" x14ac:dyDescent="0.2">
      <c r="A779" s="537" t="str">
        <f t="shared" si="20"/>
        <v>BLANK...</v>
      </c>
      <c r="B779" s="537" t="s">
        <v>193</v>
      </c>
      <c r="C779" s="537" t="str">
        <f t="shared" si="21"/>
        <v>..</v>
      </c>
      <c r="D779" s="537"/>
      <c r="E779" s="537"/>
      <c r="F779" s="537"/>
      <c r="G779" s="537"/>
      <c r="H779" s="537"/>
      <c r="I779" s="537"/>
      <c r="J779" s="537"/>
      <c r="K779" s="537"/>
      <c r="L779" s="537"/>
      <c r="M779" s="537"/>
      <c r="N779" s="537"/>
      <c r="O779" s="537"/>
      <c r="P779" s="537"/>
      <c r="Q779" s="537"/>
      <c r="R779" s="537"/>
      <c r="S779" s="537"/>
      <c r="T779" s="537"/>
      <c r="U779" s="537"/>
    </row>
    <row r="780" spans="1:21" hidden="1" x14ac:dyDescent="0.2">
      <c r="A780" s="537" t="str">
        <f t="shared" si="20"/>
        <v>BLANK...</v>
      </c>
      <c r="B780" s="537" t="s">
        <v>193</v>
      </c>
      <c r="C780" s="537" t="str">
        <f t="shared" si="21"/>
        <v>..</v>
      </c>
      <c r="D780" s="537"/>
      <c r="E780" s="537"/>
      <c r="F780" s="537"/>
      <c r="G780" s="537"/>
      <c r="H780" s="537"/>
      <c r="I780" s="537"/>
      <c r="J780" s="537"/>
      <c r="K780" s="537"/>
      <c r="L780" s="537"/>
      <c r="M780" s="537"/>
      <c r="N780" s="537"/>
      <c r="O780" s="537"/>
      <c r="P780" s="537"/>
      <c r="Q780" s="537"/>
      <c r="R780" s="537"/>
      <c r="S780" s="537"/>
      <c r="T780" s="537"/>
      <c r="U780" s="537"/>
    </row>
    <row r="781" spans="1:21" hidden="1" x14ac:dyDescent="0.2">
      <c r="A781" s="537" t="str">
        <f t="shared" si="20"/>
        <v>BLANK...</v>
      </c>
      <c r="B781" s="537" t="s">
        <v>193</v>
      </c>
      <c r="C781" s="537" t="str">
        <f t="shared" si="21"/>
        <v>..</v>
      </c>
      <c r="D781" s="537"/>
      <c r="E781" s="537"/>
      <c r="F781" s="537"/>
      <c r="G781" s="537"/>
      <c r="H781" s="537"/>
      <c r="I781" s="537"/>
      <c r="J781" s="537"/>
      <c r="K781" s="537"/>
      <c r="L781" s="537"/>
      <c r="M781" s="537"/>
      <c r="N781" s="537"/>
      <c r="O781" s="537"/>
      <c r="P781" s="537"/>
      <c r="Q781" s="537"/>
      <c r="R781" s="537"/>
      <c r="S781" s="537"/>
      <c r="T781" s="537"/>
      <c r="U781" s="537"/>
    </row>
    <row r="782" spans="1:21" hidden="1" x14ac:dyDescent="0.2">
      <c r="A782" s="537" t="str">
        <f t="shared" si="20"/>
        <v>BLANK...</v>
      </c>
      <c r="B782" s="537" t="s">
        <v>193</v>
      </c>
      <c r="C782" s="537" t="str">
        <f t="shared" si="21"/>
        <v>..</v>
      </c>
      <c r="D782" s="537"/>
      <c r="E782" s="537"/>
      <c r="F782" s="537"/>
      <c r="G782" s="537"/>
      <c r="H782" s="537"/>
      <c r="I782" s="537"/>
      <c r="J782" s="537"/>
      <c r="K782" s="537"/>
      <c r="L782" s="537"/>
      <c r="M782" s="537"/>
      <c r="N782" s="537"/>
      <c r="O782" s="537"/>
      <c r="P782" s="537"/>
      <c r="Q782" s="537"/>
      <c r="R782" s="537"/>
      <c r="S782" s="537"/>
      <c r="T782" s="537"/>
      <c r="U782" s="537"/>
    </row>
    <row r="783" spans="1:21" hidden="1" x14ac:dyDescent="0.2">
      <c r="A783" s="537" t="str">
        <f t="shared" si="20"/>
        <v>BLANK...</v>
      </c>
      <c r="B783" s="537" t="s">
        <v>193</v>
      </c>
      <c r="C783" s="537" t="str">
        <f t="shared" si="21"/>
        <v>..</v>
      </c>
      <c r="D783" s="537"/>
      <c r="E783" s="537"/>
      <c r="F783" s="537"/>
      <c r="G783" s="537"/>
      <c r="H783" s="537"/>
      <c r="I783" s="537"/>
      <c r="J783" s="537"/>
      <c r="K783" s="537"/>
      <c r="L783" s="537"/>
      <c r="M783" s="537"/>
      <c r="N783" s="537"/>
      <c r="O783" s="537"/>
      <c r="P783" s="537"/>
      <c r="Q783" s="537"/>
      <c r="R783" s="537"/>
      <c r="S783" s="537"/>
      <c r="T783" s="537"/>
      <c r="U783" s="537"/>
    </row>
    <row r="784" spans="1:21" hidden="1" x14ac:dyDescent="0.2">
      <c r="A784" s="537" t="str">
        <f t="shared" si="20"/>
        <v>BLANK...</v>
      </c>
      <c r="B784" s="537" t="s">
        <v>193</v>
      </c>
      <c r="C784" s="537" t="str">
        <f t="shared" si="21"/>
        <v>..</v>
      </c>
      <c r="D784" s="537"/>
      <c r="E784" s="537"/>
      <c r="F784" s="537"/>
      <c r="G784" s="537"/>
      <c r="H784" s="537"/>
      <c r="I784" s="537"/>
      <c r="J784" s="537"/>
      <c r="K784" s="537"/>
      <c r="L784" s="537"/>
      <c r="M784" s="537"/>
      <c r="N784" s="537"/>
      <c r="O784" s="537"/>
      <c r="P784" s="537"/>
      <c r="Q784" s="537"/>
      <c r="R784" s="537"/>
      <c r="S784" s="537"/>
      <c r="T784" s="537"/>
      <c r="U784" s="537"/>
    </row>
    <row r="785" spans="1:21" hidden="1" x14ac:dyDescent="0.2">
      <c r="A785" s="537" t="str">
        <f t="shared" si="20"/>
        <v>BLANK...</v>
      </c>
      <c r="B785" s="537" t="s">
        <v>193</v>
      </c>
      <c r="C785" s="537" t="str">
        <f t="shared" si="21"/>
        <v>..</v>
      </c>
      <c r="D785" s="537"/>
      <c r="E785" s="537"/>
      <c r="F785" s="537"/>
      <c r="G785" s="537"/>
      <c r="H785" s="537"/>
      <c r="I785" s="537"/>
      <c r="J785" s="537"/>
      <c r="K785" s="537"/>
      <c r="L785" s="537"/>
      <c r="M785" s="537"/>
      <c r="N785" s="537"/>
      <c r="O785" s="537"/>
      <c r="P785" s="537"/>
      <c r="Q785" s="537"/>
      <c r="R785" s="537"/>
      <c r="S785" s="537"/>
      <c r="T785" s="537"/>
      <c r="U785" s="537"/>
    </row>
    <row r="786" spans="1:21" hidden="1" x14ac:dyDescent="0.2">
      <c r="A786" s="537" t="str">
        <f t="shared" si="20"/>
        <v>BLANK...</v>
      </c>
      <c r="B786" s="537" t="s">
        <v>193</v>
      </c>
      <c r="C786" s="537" t="str">
        <f t="shared" si="21"/>
        <v>..</v>
      </c>
      <c r="D786" s="537"/>
      <c r="E786" s="537"/>
      <c r="F786" s="537"/>
      <c r="G786" s="537"/>
      <c r="H786" s="537"/>
      <c r="I786" s="537"/>
      <c r="J786" s="537"/>
      <c r="K786" s="537"/>
      <c r="L786" s="537"/>
      <c r="M786" s="537"/>
      <c r="N786" s="537"/>
      <c r="O786" s="537"/>
      <c r="P786" s="537"/>
      <c r="Q786" s="537"/>
      <c r="R786" s="537"/>
      <c r="S786" s="537"/>
      <c r="T786" s="537"/>
      <c r="U786" s="537"/>
    </row>
    <row r="787" spans="1:21" hidden="1" x14ac:dyDescent="0.2">
      <c r="A787" s="537" t="str">
        <f t="shared" si="20"/>
        <v>BLANK...</v>
      </c>
      <c r="B787" s="537" t="s">
        <v>193</v>
      </c>
      <c r="C787" s="537" t="str">
        <f t="shared" si="21"/>
        <v>..</v>
      </c>
      <c r="D787" s="537"/>
      <c r="E787" s="537"/>
      <c r="F787" s="537"/>
      <c r="G787" s="537"/>
      <c r="H787" s="537"/>
      <c r="I787" s="537"/>
      <c r="J787" s="537"/>
      <c r="K787" s="537"/>
      <c r="L787" s="537"/>
      <c r="M787" s="537"/>
      <c r="N787" s="537"/>
      <c r="O787" s="537"/>
      <c r="P787" s="537"/>
      <c r="Q787" s="537"/>
      <c r="R787" s="537"/>
      <c r="S787" s="537"/>
      <c r="T787" s="537"/>
      <c r="U787" s="537"/>
    </row>
    <row r="788" spans="1:21" hidden="1" x14ac:dyDescent="0.2">
      <c r="A788" s="537" t="str">
        <f t="shared" si="20"/>
        <v>BLANK...</v>
      </c>
      <c r="B788" s="537" t="s">
        <v>193</v>
      </c>
      <c r="C788" s="537" t="str">
        <f t="shared" si="21"/>
        <v>..</v>
      </c>
      <c r="D788" s="537"/>
      <c r="E788" s="537"/>
      <c r="F788" s="537"/>
      <c r="G788" s="537"/>
      <c r="H788" s="537"/>
      <c r="I788" s="537"/>
      <c r="J788" s="537"/>
      <c r="K788" s="537"/>
      <c r="L788" s="537"/>
      <c r="M788" s="537"/>
      <c r="N788" s="537"/>
      <c r="O788" s="537"/>
      <c r="P788" s="537"/>
      <c r="Q788" s="537"/>
      <c r="R788" s="537"/>
      <c r="S788" s="537"/>
      <c r="T788" s="537"/>
      <c r="U788" s="537"/>
    </row>
    <row r="789" spans="1:21" hidden="1" x14ac:dyDescent="0.2">
      <c r="A789" s="537" t="str">
        <f t="shared" si="20"/>
        <v>BLANK...</v>
      </c>
      <c r="B789" s="537" t="s">
        <v>193</v>
      </c>
      <c r="C789" s="537" t="str">
        <f t="shared" si="21"/>
        <v>..</v>
      </c>
      <c r="D789" s="537"/>
      <c r="E789" s="537"/>
      <c r="F789" s="537"/>
      <c r="G789" s="537"/>
      <c r="H789" s="537"/>
      <c r="I789" s="537"/>
      <c r="J789" s="537"/>
      <c r="K789" s="537"/>
      <c r="L789" s="537"/>
      <c r="M789" s="537"/>
      <c r="N789" s="537"/>
      <c r="O789" s="537"/>
      <c r="P789" s="537"/>
      <c r="Q789" s="537"/>
      <c r="R789" s="537"/>
      <c r="S789" s="537"/>
      <c r="T789" s="537"/>
      <c r="U789" s="537"/>
    </row>
    <row r="790" spans="1:21" hidden="1" x14ac:dyDescent="0.2">
      <c r="A790" s="537" t="str">
        <f t="shared" si="20"/>
        <v>BLANK...</v>
      </c>
      <c r="B790" s="537" t="s">
        <v>193</v>
      </c>
      <c r="C790" s="537" t="str">
        <f t="shared" si="21"/>
        <v>..</v>
      </c>
      <c r="D790" s="537"/>
      <c r="E790" s="537"/>
      <c r="F790" s="537"/>
      <c r="G790" s="537"/>
      <c r="H790" s="537"/>
      <c r="I790" s="537"/>
      <c r="J790" s="537"/>
      <c r="K790" s="537"/>
      <c r="L790" s="537"/>
      <c r="M790" s="537"/>
      <c r="N790" s="537"/>
      <c r="O790" s="537"/>
      <c r="P790" s="537"/>
      <c r="Q790" s="537"/>
      <c r="R790" s="537"/>
      <c r="S790" s="537"/>
      <c r="T790" s="537"/>
      <c r="U790" s="537"/>
    </row>
    <row r="791" spans="1:21" hidden="1" x14ac:dyDescent="0.2">
      <c r="A791" s="537" t="str">
        <f t="shared" si="20"/>
        <v>BLANK...</v>
      </c>
      <c r="B791" s="537" t="s">
        <v>193</v>
      </c>
      <c r="C791" s="537" t="str">
        <f t="shared" si="21"/>
        <v>..</v>
      </c>
      <c r="D791" s="537"/>
      <c r="E791" s="537"/>
      <c r="F791" s="537"/>
      <c r="G791" s="537"/>
      <c r="H791" s="537"/>
      <c r="I791" s="537"/>
      <c r="J791" s="537"/>
      <c r="K791" s="537"/>
      <c r="L791" s="537"/>
      <c r="M791" s="537"/>
      <c r="N791" s="537"/>
      <c r="O791" s="537"/>
      <c r="P791" s="537"/>
      <c r="Q791" s="537"/>
      <c r="R791" s="537"/>
      <c r="S791" s="537"/>
      <c r="T791" s="537"/>
      <c r="U791" s="537"/>
    </row>
    <row r="792" spans="1:21" hidden="1" x14ac:dyDescent="0.2">
      <c r="A792" s="537" t="str">
        <f t="shared" si="20"/>
        <v>BLANK...</v>
      </c>
      <c r="B792" s="537" t="s">
        <v>193</v>
      </c>
      <c r="C792" s="537" t="str">
        <f t="shared" si="21"/>
        <v>..</v>
      </c>
      <c r="D792" s="537"/>
      <c r="E792" s="537"/>
      <c r="F792" s="537"/>
      <c r="G792" s="537"/>
      <c r="H792" s="537"/>
      <c r="I792" s="537"/>
      <c r="J792" s="537"/>
      <c r="K792" s="537"/>
      <c r="L792" s="537"/>
      <c r="M792" s="537"/>
      <c r="N792" s="537"/>
      <c r="O792" s="537"/>
      <c r="P792" s="537"/>
      <c r="Q792" s="537"/>
      <c r="R792" s="537"/>
      <c r="S792" s="537"/>
      <c r="T792" s="537"/>
      <c r="U792" s="537"/>
    </row>
    <row r="793" spans="1:21" hidden="1" x14ac:dyDescent="0.2">
      <c r="A793" s="537" t="str">
        <f t="shared" si="20"/>
        <v>BLANK...</v>
      </c>
      <c r="B793" s="537" t="s">
        <v>193</v>
      </c>
      <c r="C793" s="537" t="str">
        <f t="shared" si="21"/>
        <v>..</v>
      </c>
      <c r="D793" s="537"/>
      <c r="E793" s="537"/>
      <c r="F793" s="537"/>
      <c r="G793" s="537"/>
      <c r="H793" s="537"/>
      <c r="I793" s="537"/>
      <c r="J793" s="537"/>
      <c r="K793" s="537"/>
      <c r="L793" s="537"/>
      <c r="M793" s="537"/>
      <c r="N793" s="537"/>
      <c r="O793" s="537"/>
      <c r="P793" s="537"/>
      <c r="Q793" s="537"/>
      <c r="R793" s="537"/>
      <c r="S793" s="537"/>
      <c r="T793" s="537"/>
      <c r="U793" s="537"/>
    </row>
    <row r="794" spans="1:21" hidden="1" x14ac:dyDescent="0.2">
      <c r="A794" s="537" t="str">
        <f t="shared" si="20"/>
        <v>BLANK...</v>
      </c>
      <c r="B794" s="537" t="s">
        <v>193</v>
      </c>
      <c r="C794" s="537" t="str">
        <f t="shared" si="21"/>
        <v>..</v>
      </c>
      <c r="D794" s="537"/>
      <c r="E794" s="537"/>
      <c r="F794" s="537"/>
      <c r="G794" s="537"/>
      <c r="H794" s="537"/>
      <c r="I794" s="537"/>
      <c r="J794" s="537"/>
      <c r="K794" s="537"/>
      <c r="L794" s="537"/>
      <c r="M794" s="537"/>
      <c r="N794" s="537"/>
      <c r="O794" s="537"/>
      <c r="P794" s="537"/>
      <c r="Q794" s="537"/>
      <c r="R794" s="537"/>
      <c r="S794" s="537"/>
      <c r="T794" s="537"/>
      <c r="U794" s="537"/>
    </row>
    <row r="795" spans="1:21" hidden="1" x14ac:dyDescent="0.2">
      <c r="A795" s="537" t="str">
        <f t="shared" si="20"/>
        <v>BLANK...</v>
      </c>
      <c r="B795" s="537" t="s">
        <v>193</v>
      </c>
      <c r="C795" s="537" t="str">
        <f t="shared" si="21"/>
        <v>..</v>
      </c>
      <c r="D795" s="537"/>
      <c r="E795" s="537"/>
      <c r="F795" s="537"/>
      <c r="G795" s="537"/>
      <c r="H795" s="537"/>
      <c r="I795" s="537"/>
      <c r="J795" s="537"/>
      <c r="K795" s="537"/>
      <c r="L795" s="537"/>
      <c r="M795" s="537"/>
      <c r="N795" s="537"/>
      <c r="O795" s="537"/>
      <c r="P795" s="537"/>
      <c r="Q795" s="537"/>
      <c r="R795" s="537"/>
      <c r="S795" s="537"/>
      <c r="T795" s="537"/>
      <c r="U795" s="537"/>
    </row>
    <row r="796" spans="1:21" ht="15" hidden="1" customHeight="1" x14ac:dyDescent="0.2">
      <c r="A796" s="537" t="str">
        <f t="shared" si="20"/>
        <v>BLANK...</v>
      </c>
      <c r="B796" s="537" t="s">
        <v>193</v>
      </c>
      <c r="C796" s="537" t="str">
        <f t="shared" si="21"/>
        <v>..</v>
      </c>
      <c r="D796" s="537"/>
      <c r="E796" s="537"/>
      <c r="F796" s="537"/>
      <c r="G796" s="537"/>
      <c r="H796" s="537"/>
      <c r="I796" s="537"/>
      <c r="J796" s="537"/>
      <c r="K796" s="537"/>
      <c r="L796" s="537"/>
      <c r="M796" s="537"/>
      <c r="N796" s="537"/>
      <c r="O796" s="537"/>
      <c r="P796" s="537"/>
      <c r="Q796" s="537"/>
      <c r="R796" s="537"/>
      <c r="S796" s="537"/>
      <c r="T796" s="537"/>
      <c r="U796" s="537"/>
    </row>
    <row r="797" spans="1:21" ht="15" hidden="1" customHeight="1" x14ac:dyDescent="0.2">
      <c r="A797" s="537" t="str">
        <f t="shared" si="20"/>
        <v>BLANK...</v>
      </c>
      <c r="B797" s="537" t="s">
        <v>193</v>
      </c>
      <c r="C797" s="537" t="str">
        <f t="shared" si="21"/>
        <v>..</v>
      </c>
      <c r="D797" s="537"/>
      <c r="E797" s="537"/>
      <c r="F797" s="537"/>
      <c r="G797" s="537"/>
      <c r="H797" s="537"/>
      <c r="I797" s="537"/>
      <c r="J797" s="537"/>
      <c r="K797" s="537"/>
      <c r="L797" s="537"/>
      <c r="M797" s="537"/>
      <c r="N797" s="537"/>
      <c r="O797" s="537"/>
      <c r="P797" s="537"/>
      <c r="Q797" s="537"/>
      <c r="R797" s="537"/>
      <c r="S797" s="537"/>
      <c r="T797" s="537"/>
      <c r="U797" s="537"/>
    </row>
    <row r="798" spans="1:21" ht="15" hidden="1" customHeight="1" x14ac:dyDescent="0.2">
      <c r="A798" s="537" t="str">
        <f t="shared" si="20"/>
        <v>BLANK...</v>
      </c>
      <c r="B798" s="537" t="s">
        <v>193</v>
      </c>
      <c r="C798" s="537" t="str">
        <f t="shared" si="21"/>
        <v>..</v>
      </c>
      <c r="D798" s="537"/>
      <c r="E798" s="537"/>
      <c r="F798" s="537"/>
      <c r="G798" s="537"/>
      <c r="H798" s="537"/>
      <c r="I798" s="537"/>
      <c r="J798" s="537"/>
      <c r="K798" s="537"/>
      <c r="L798" s="537"/>
      <c r="M798" s="537"/>
      <c r="N798" s="537"/>
      <c r="O798" s="537"/>
      <c r="P798" s="537"/>
      <c r="Q798" s="537"/>
      <c r="R798" s="537"/>
      <c r="S798" s="537"/>
      <c r="T798" s="537"/>
      <c r="U798" s="537"/>
    </row>
    <row r="799" spans="1:21" ht="15" hidden="1" customHeight="1" x14ac:dyDescent="0.2">
      <c r="A799" s="537" t="str">
        <f t="shared" si="20"/>
        <v>BLANK...</v>
      </c>
      <c r="B799" s="537" t="s">
        <v>193</v>
      </c>
      <c r="C799" s="537" t="str">
        <f t="shared" si="21"/>
        <v>..</v>
      </c>
      <c r="D799" s="537"/>
      <c r="E799" s="537"/>
      <c r="F799" s="537"/>
      <c r="G799" s="537"/>
      <c r="H799" s="537"/>
      <c r="I799" s="537"/>
      <c r="J799" s="537"/>
      <c r="K799" s="537"/>
      <c r="L799" s="537"/>
      <c r="M799" s="537"/>
      <c r="N799" s="537"/>
      <c r="O799" s="537"/>
      <c r="P799" s="537"/>
      <c r="Q799" s="537"/>
      <c r="R799" s="537"/>
      <c r="S799" s="537"/>
      <c r="T799" s="537"/>
      <c r="U799" s="537"/>
    </row>
    <row r="800" spans="1:21" ht="15" hidden="1" customHeight="1" x14ac:dyDescent="0.2">
      <c r="A800" s="537" t="str">
        <f t="shared" si="20"/>
        <v>BLANK...</v>
      </c>
      <c r="B800" s="537" t="s">
        <v>193</v>
      </c>
      <c r="C800" s="537" t="str">
        <f t="shared" si="21"/>
        <v>..</v>
      </c>
      <c r="D800" s="537"/>
      <c r="E800" s="537"/>
      <c r="F800" s="537"/>
      <c r="G800" s="537"/>
      <c r="H800" s="537"/>
      <c r="I800" s="537"/>
      <c r="J800" s="537"/>
      <c r="K800" s="537"/>
      <c r="L800" s="537"/>
      <c r="M800" s="537"/>
      <c r="N800" s="537"/>
      <c r="O800" s="537"/>
      <c r="P800" s="537"/>
      <c r="Q800" s="537"/>
      <c r="R800" s="537"/>
      <c r="S800" s="537"/>
      <c r="T800" s="537"/>
      <c r="U800" s="537"/>
    </row>
    <row r="801" spans="1:21" ht="15" hidden="1" customHeight="1" x14ac:dyDescent="0.2">
      <c r="A801" s="537" t="str">
        <f t="shared" si="20"/>
        <v>BLANK...</v>
      </c>
      <c r="B801" s="537" t="s">
        <v>193</v>
      </c>
      <c r="C801" s="537" t="str">
        <f t="shared" si="21"/>
        <v>..</v>
      </c>
      <c r="D801" s="537"/>
      <c r="E801" s="537"/>
      <c r="F801" s="537"/>
      <c r="G801" s="537"/>
      <c r="H801" s="537"/>
      <c r="I801" s="537"/>
      <c r="J801" s="537"/>
      <c r="K801" s="537"/>
      <c r="L801" s="537"/>
      <c r="M801" s="537"/>
      <c r="N801" s="537"/>
      <c r="O801" s="537"/>
      <c r="P801" s="537"/>
      <c r="Q801" s="537"/>
      <c r="R801" s="537"/>
      <c r="S801" s="537"/>
      <c r="T801" s="537"/>
      <c r="U801" s="537"/>
    </row>
    <row r="802" spans="1:21" ht="15" hidden="1" customHeight="1" x14ac:dyDescent="0.2">
      <c r="A802" s="537" t="str">
        <f t="shared" si="20"/>
        <v>BLANK...</v>
      </c>
      <c r="B802" s="537" t="s">
        <v>193</v>
      </c>
      <c r="C802" s="537" t="str">
        <f t="shared" si="21"/>
        <v>..</v>
      </c>
      <c r="D802" s="537"/>
      <c r="E802" s="537"/>
      <c r="F802" s="537"/>
      <c r="G802" s="537"/>
      <c r="H802" s="537"/>
      <c r="I802" s="537"/>
      <c r="J802" s="537"/>
      <c r="K802" s="537"/>
      <c r="L802" s="537"/>
      <c r="M802" s="537"/>
      <c r="N802" s="537"/>
      <c r="O802" s="537"/>
      <c r="P802" s="537"/>
      <c r="Q802" s="537"/>
      <c r="R802" s="537"/>
      <c r="S802" s="537"/>
      <c r="T802" s="537"/>
      <c r="U802" s="537"/>
    </row>
    <row r="803" spans="1:21" ht="15" hidden="1" customHeight="1" x14ac:dyDescent="0.2">
      <c r="A803" s="537" t="str">
        <f t="shared" si="20"/>
        <v>BLANK...</v>
      </c>
      <c r="B803" s="537" t="s">
        <v>193</v>
      </c>
      <c r="C803" s="537" t="str">
        <f t="shared" si="21"/>
        <v>..</v>
      </c>
      <c r="D803" s="537"/>
      <c r="E803" s="537"/>
      <c r="F803" s="537"/>
      <c r="G803" s="537"/>
      <c r="H803" s="537"/>
      <c r="I803" s="537"/>
      <c r="J803" s="537"/>
      <c r="K803" s="537"/>
      <c r="L803" s="537"/>
      <c r="M803" s="537"/>
      <c r="N803" s="537"/>
      <c r="O803" s="537"/>
      <c r="P803" s="537"/>
      <c r="Q803" s="537"/>
      <c r="R803" s="537"/>
      <c r="S803" s="537"/>
      <c r="T803" s="537"/>
      <c r="U803" s="537"/>
    </row>
    <row r="804" spans="1:21" hidden="1" x14ac:dyDescent="0.2">
      <c r="A804" s="537" t="str">
        <f t="shared" si="20"/>
        <v>BLANK...</v>
      </c>
      <c r="B804" s="537" t="s">
        <v>193</v>
      </c>
      <c r="C804" s="537" t="str">
        <f t="shared" si="21"/>
        <v>..</v>
      </c>
      <c r="D804" s="537"/>
      <c r="E804" s="537"/>
      <c r="F804" s="537"/>
      <c r="G804" s="537"/>
      <c r="H804" s="537"/>
      <c r="I804" s="537"/>
      <c r="J804" s="537"/>
      <c r="K804" s="537"/>
      <c r="L804" s="537"/>
      <c r="M804" s="537"/>
      <c r="N804" s="537"/>
      <c r="O804" s="537"/>
      <c r="P804" s="537"/>
      <c r="Q804" s="537"/>
      <c r="R804" s="537"/>
      <c r="S804" s="537"/>
      <c r="T804" s="537"/>
      <c r="U804" s="537"/>
    </row>
    <row r="805" spans="1:21" hidden="1" x14ac:dyDescent="0.2">
      <c r="A805" s="537" t="str">
        <f t="shared" si="20"/>
        <v>BLANK...</v>
      </c>
      <c r="B805" s="537" t="s">
        <v>193</v>
      </c>
      <c r="C805" s="537" t="str">
        <f t="shared" si="21"/>
        <v>..</v>
      </c>
      <c r="D805" s="537"/>
      <c r="E805" s="537"/>
      <c r="F805" s="537"/>
      <c r="G805" s="537"/>
      <c r="H805" s="537"/>
      <c r="I805" s="537"/>
      <c r="J805" s="537"/>
      <c r="K805" s="537"/>
      <c r="L805" s="537"/>
      <c r="M805" s="537"/>
      <c r="N805" s="537"/>
      <c r="O805" s="537"/>
      <c r="P805" s="537"/>
      <c r="Q805" s="537"/>
      <c r="R805" s="537"/>
      <c r="S805" s="537"/>
      <c r="T805" s="537"/>
      <c r="U805" s="537"/>
    </row>
    <row r="806" spans="1:21" hidden="1" x14ac:dyDescent="0.2">
      <c r="A806" s="537" t="str">
        <f t="shared" si="20"/>
        <v>BLANK...</v>
      </c>
      <c r="B806" s="537" t="s">
        <v>193</v>
      </c>
      <c r="C806" s="537" t="str">
        <f t="shared" si="21"/>
        <v>..</v>
      </c>
      <c r="D806" s="537"/>
      <c r="E806" s="537"/>
      <c r="F806" s="537"/>
      <c r="G806" s="537"/>
      <c r="H806" s="537"/>
      <c r="I806" s="537"/>
      <c r="J806" s="537"/>
      <c r="K806" s="537"/>
      <c r="L806" s="537"/>
      <c r="M806" s="537"/>
      <c r="N806" s="537"/>
      <c r="O806" s="537"/>
      <c r="P806" s="537"/>
      <c r="Q806" s="537"/>
      <c r="R806" s="537"/>
      <c r="S806" s="537"/>
      <c r="T806" s="537"/>
      <c r="U806" s="537"/>
    </row>
    <row r="807" spans="1:21" hidden="1" x14ac:dyDescent="0.2">
      <c r="A807" s="537" t="str">
        <f t="shared" si="20"/>
        <v>BLANK...</v>
      </c>
      <c r="B807" s="537" t="s">
        <v>193</v>
      </c>
      <c r="C807" s="537" t="str">
        <f t="shared" si="21"/>
        <v>..</v>
      </c>
      <c r="D807" s="537"/>
      <c r="E807" s="537"/>
      <c r="F807" s="537"/>
      <c r="G807" s="537"/>
      <c r="H807" s="537"/>
      <c r="I807" s="537"/>
      <c r="J807" s="537"/>
      <c r="K807" s="537"/>
      <c r="L807" s="537"/>
      <c r="M807" s="537"/>
      <c r="N807" s="537"/>
      <c r="O807" s="537"/>
      <c r="P807" s="537"/>
      <c r="Q807" s="537"/>
      <c r="R807" s="537"/>
      <c r="S807" s="537"/>
      <c r="T807" s="537"/>
      <c r="U807" s="537"/>
    </row>
    <row r="808" spans="1:21" hidden="1" x14ac:dyDescent="0.2">
      <c r="A808" s="537" t="str">
        <f t="shared" si="20"/>
        <v>BLANK...</v>
      </c>
      <c r="B808" s="537" t="s">
        <v>193</v>
      </c>
      <c r="C808" s="537" t="str">
        <f t="shared" si="21"/>
        <v>..</v>
      </c>
      <c r="D808" s="537"/>
      <c r="E808" s="537"/>
      <c r="F808" s="537"/>
      <c r="G808" s="537"/>
      <c r="H808" s="537"/>
      <c r="I808" s="537"/>
      <c r="J808" s="537"/>
      <c r="K808" s="537"/>
      <c r="L808" s="537"/>
      <c r="M808" s="537"/>
      <c r="N808" s="537"/>
      <c r="O808" s="537"/>
      <c r="P808" s="537"/>
      <c r="Q808" s="537"/>
      <c r="R808" s="537"/>
      <c r="S808" s="537"/>
      <c r="T808" s="537"/>
      <c r="U808" s="537"/>
    </row>
    <row r="809" spans="1:21" hidden="1" x14ac:dyDescent="0.2">
      <c r="A809" s="537" t="str">
        <f t="shared" si="20"/>
        <v>BLANK...</v>
      </c>
      <c r="B809" s="537" t="s">
        <v>193</v>
      </c>
      <c r="C809" s="537" t="str">
        <f t="shared" si="21"/>
        <v>..</v>
      </c>
      <c r="D809" s="537"/>
      <c r="E809" s="537"/>
      <c r="F809" s="537"/>
      <c r="G809" s="537"/>
      <c r="H809" s="537"/>
      <c r="I809" s="537"/>
      <c r="J809" s="537"/>
      <c r="K809" s="537"/>
      <c r="L809" s="537"/>
      <c r="M809" s="537"/>
      <c r="N809" s="537"/>
      <c r="O809" s="537"/>
      <c r="P809" s="537"/>
      <c r="Q809" s="537"/>
      <c r="R809" s="537"/>
      <c r="S809" s="537"/>
      <c r="T809" s="537"/>
      <c r="U809" s="537"/>
    </row>
    <row r="810" spans="1:21" hidden="1" x14ac:dyDescent="0.2">
      <c r="A810" s="537" t="str">
        <f t="shared" si="20"/>
        <v>BLANK...</v>
      </c>
      <c r="B810" s="537" t="s">
        <v>193</v>
      </c>
      <c r="C810" s="537" t="str">
        <f t="shared" si="21"/>
        <v>..</v>
      </c>
      <c r="D810" s="537"/>
      <c r="E810" s="537"/>
      <c r="F810" s="537"/>
      <c r="G810" s="537"/>
      <c r="H810" s="537"/>
      <c r="I810" s="537"/>
      <c r="J810" s="537"/>
      <c r="K810" s="537"/>
      <c r="L810" s="537"/>
      <c r="M810" s="537"/>
      <c r="N810" s="537"/>
      <c r="O810" s="537"/>
      <c r="P810" s="537"/>
      <c r="Q810" s="537"/>
      <c r="R810" s="537"/>
      <c r="S810" s="537"/>
      <c r="T810" s="537"/>
      <c r="U810" s="537"/>
    </row>
    <row r="811" spans="1:21" hidden="1" x14ac:dyDescent="0.2">
      <c r="A811" s="537" t="str">
        <f t="shared" si="20"/>
        <v>BLANK...</v>
      </c>
      <c r="B811" s="537" t="s">
        <v>193</v>
      </c>
      <c r="C811" s="537" t="str">
        <f t="shared" si="21"/>
        <v>..</v>
      </c>
      <c r="D811" s="537"/>
      <c r="E811" s="537"/>
      <c r="F811" s="537"/>
      <c r="G811" s="537"/>
      <c r="H811" s="537"/>
      <c r="I811" s="537"/>
      <c r="J811" s="537"/>
      <c r="K811" s="537"/>
      <c r="L811" s="537"/>
      <c r="M811" s="537"/>
      <c r="N811" s="537"/>
      <c r="O811" s="537"/>
      <c r="P811" s="537"/>
      <c r="Q811" s="537"/>
      <c r="R811" s="537"/>
      <c r="S811" s="537"/>
      <c r="T811" s="537"/>
      <c r="U811" s="537"/>
    </row>
    <row r="812" spans="1:21" hidden="1" x14ac:dyDescent="0.2">
      <c r="A812" s="537" t="str">
        <f t="shared" si="20"/>
        <v>BLANK...</v>
      </c>
      <c r="B812" s="537" t="s">
        <v>193</v>
      </c>
      <c r="C812" s="537" t="str">
        <f t="shared" si="21"/>
        <v>..</v>
      </c>
      <c r="D812" s="537"/>
      <c r="E812" s="537"/>
      <c r="F812" s="537"/>
      <c r="G812" s="537"/>
      <c r="H812" s="537"/>
      <c r="I812" s="537"/>
      <c r="J812" s="537"/>
      <c r="K812" s="537"/>
      <c r="L812" s="537"/>
      <c r="M812" s="537"/>
      <c r="N812" s="537"/>
      <c r="O812" s="537"/>
      <c r="P812" s="537"/>
      <c r="Q812" s="537"/>
      <c r="R812" s="537"/>
      <c r="S812" s="537"/>
      <c r="T812" s="537"/>
      <c r="U812" s="537"/>
    </row>
    <row r="813" spans="1:21" hidden="1" x14ac:dyDescent="0.2">
      <c r="A813" s="537" t="str">
        <f t="shared" si="20"/>
        <v>BLANK...</v>
      </c>
      <c r="B813" s="537" t="s">
        <v>193</v>
      </c>
      <c r="C813" s="537" t="str">
        <f t="shared" si="21"/>
        <v>..</v>
      </c>
      <c r="D813" s="537"/>
      <c r="E813" s="537"/>
      <c r="F813" s="537"/>
      <c r="G813" s="537"/>
      <c r="H813" s="537"/>
      <c r="I813" s="537"/>
      <c r="J813" s="537"/>
      <c r="K813" s="537"/>
      <c r="L813" s="537"/>
      <c r="M813" s="537"/>
      <c r="N813" s="537"/>
      <c r="O813" s="537"/>
      <c r="P813" s="537"/>
      <c r="Q813" s="537"/>
      <c r="R813" s="537"/>
      <c r="S813" s="537"/>
      <c r="T813" s="537"/>
      <c r="U813" s="537"/>
    </row>
    <row r="814" spans="1:21" hidden="1" x14ac:dyDescent="0.2">
      <c r="A814" s="537" t="str">
        <f t="shared" si="20"/>
        <v>BLANK...</v>
      </c>
      <c r="B814" s="537" t="s">
        <v>193</v>
      </c>
      <c r="C814" s="537" t="str">
        <f t="shared" si="21"/>
        <v>..</v>
      </c>
      <c r="D814" s="537"/>
      <c r="E814" s="537"/>
      <c r="F814" s="537"/>
      <c r="G814" s="537"/>
      <c r="H814" s="537"/>
      <c r="I814" s="537"/>
      <c r="J814" s="537"/>
      <c r="K814" s="537"/>
      <c r="L814" s="537"/>
      <c r="M814" s="537"/>
      <c r="N814" s="537"/>
      <c r="O814" s="537"/>
      <c r="P814" s="537"/>
      <c r="Q814" s="537"/>
      <c r="R814" s="537"/>
      <c r="S814" s="537"/>
      <c r="T814" s="537"/>
      <c r="U814" s="537"/>
    </row>
    <row r="815" spans="1:21" hidden="1" x14ac:dyDescent="0.2">
      <c r="A815" s="537" t="str">
        <f t="shared" si="20"/>
        <v>BLANK...</v>
      </c>
      <c r="B815" s="537" t="s">
        <v>193</v>
      </c>
      <c r="C815" s="537" t="str">
        <f t="shared" si="21"/>
        <v>..</v>
      </c>
      <c r="D815" s="537"/>
      <c r="E815" s="537"/>
      <c r="F815" s="537"/>
      <c r="G815" s="537"/>
      <c r="H815" s="537"/>
      <c r="I815" s="537"/>
      <c r="J815" s="537"/>
      <c r="K815" s="537"/>
      <c r="L815" s="537"/>
      <c r="M815" s="537"/>
      <c r="N815" s="537"/>
      <c r="O815" s="537"/>
      <c r="P815" s="537"/>
      <c r="Q815" s="537"/>
      <c r="R815" s="537"/>
      <c r="S815" s="537"/>
      <c r="T815" s="537"/>
      <c r="U815" s="537"/>
    </row>
    <row r="816" spans="1:21" hidden="1" x14ac:dyDescent="0.2">
      <c r="A816" s="537" t="str">
        <f t="shared" si="20"/>
        <v>BLANK...</v>
      </c>
      <c r="B816" s="537" t="s">
        <v>193</v>
      </c>
      <c r="C816" s="537" t="str">
        <f t="shared" si="21"/>
        <v>..</v>
      </c>
      <c r="D816" s="537"/>
      <c r="E816" s="537"/>
      <c r="F816" s="537"/>
      <c r="G816" s="537"/>
      <c r="H816" s="537"/>
      <c r="I816" s="537"/>
      <c r="J816" s="537"/>
      <c r="K816" s="537"/>
      <c r="L816" s="537"/>
      <c r="M816" s="537"/>
      <c r="N816" s="537"/>
      <c r="O816" s="537"/>
      <c r="P816" s="537"/>
      <c r="Q816" s="537"/>
      <c r="R816" s="537"/>
      <c r="S816" s="537"/>
      <c r="T816" s="537"/>
      <c r="U816" s="537"/>
    </row>
    <row r="817" spans="1:21" hidden="1" x14ac:dyDescent="0.2">
      <c r="A817" s="537" t="str">
        <f t="shared" si="18"/>
        <v>BLANK...</v>
      </c>
      <c r="B817" s="537" t="s">
        <v>193</v>
      </c>
      <c r="C817" s="537" t="str">
        <f t="shared" si="19"/>
        <v>..</v>
      </c>
      <c r="D817" s="537"/>
      <c r="E817" s="537"/>
      <c r="F817" s="537"/>
      <c r="G817" s="537"/>
      <c r="H817" s="537"/>
      <c r="I817" s="537"/>
      <c r="J817" s="537"/>
      <c r="K817" s="537"/>
      <c r="L817" s="537"/>
      <c r="M817" s="537"/>
      <c r="N817" s="537"/>
      <c r="O817" s="537"/>
      <c r="P817" s="537"/>
      <c r="Q817" s="537"/>
      <c r="R817" s="537"/>
      <c r="S817" s="537"/>
      <c r="T817" s="537"/>
      <c r="U817" s="537"/>
    </row>
    <row r="818" spans="1:21" hidden="1" x14ac:dyDescent="0.2">
      <c r="A818" s="537" t="str">
        <f t="shared" si="18"/>
        <v>BLANK...</v>
      </c>
      <c r="B818" s="537" t="s">
        <v>193</v>
      </c>
      <c r="C818" s="537" t="str">
        <f t="shared" si="19"/>
        <v>..</v>
      </c>
      <c r="D818" s="537"/>
      <c r="E818" s="537"/>
      <c r="F818" s="537"/>
      <c r="G818" s="537"/>
      <c r="H818" s="537"/>
      <c r="I818" s="537"/>
      <c r="J818" s="537"/>
      <c r="K818" s="537"/>
      <c r="L818" s="537"/>
      <c r="M818" s="537"/>
      <c r="N818" s="537"/>
      <c r="O818" s="537"/>
      <c r="P818" s="537"/>
      <c r="Q818" s="537"/>
      <c r="R818" s="537"/>
      <c r="S818" s="537"/>
      <c r="T818" s="537"/>
      <c r="U818" s="537"/>
    </row>
    <row r="819" spans="1:21" hidden="1" x14ac:dyDescent="0.2">
      <c r="A819" s="537" t="str">
        <f t="shared" si="18"/>
        <v>BLANK...</v>
      </c>
      <c r="B819" s="537" t="s">
        <v>193</v>
      </c>
      <c r="C819" s="537" t="str">
        <f t="shared" si="19"/>
        <v>..</v>
      </c>
      <c r="D819" s="537"/>
      <c r="E819" s="537"/>
      <c r="F819" s="537"/>
      <c r="G819" s="537"/>
      <c r="H819" s="537"/>
      <c r="I819" s="537"/>
      <c r="J819" s="537"/>
      <c r="K819" s="537"/>
      <c r="L819" s="537"/>
      <c r="M819" s="537"/>
      <c r="N819" s="537"/>
      <c r="O819" s="537"/>
      <c r="P819" s="537"/>
      <c r="Q819" s="537"/>
      <c r="R819" s="537"/>
      <c r="S819" s="537"/>
      <c r="T819" s="537"/>
      <c r="U819" s="537"/>
    </row>
    <row r="820" spans="1:21" hidden="1" x14ac:dyDescent="0.2">
      <c r="A820" s="537" t="str">
        <f t="shared" si="18"/>
        <v>BLANK...</v>
      </c>
      <c r="B820" s="537" t="s">
        <v>193</v>
      </c>
      <c r="C820" s="537" t="str">
        <f t="shared" si="19"/>
        <v>..</v>
      </c>
      <c r="D820" s="537"/>
      <c r="E820" s="537"/>
      <c r="F820" s="537"/>
      <c r="G820" s="537"/>
      <c r="H820" s="537"/>
      <c r="I820" s="537"/>
      <c r="J820" s="537"/>
      <c r="K820" s="537"/>
      <c r="L820" s="537"/>
      <c r="M820" s="537"/>
      <c r="N820" s="537"/>
      <c r="O820" s="537"/>
      <c r="P820" s="537"/>
      <c r="Q820" s="537"/>
      <c r="R820" s="537"/>
      <c r="S820" s="537"/>
      <c r="T820" s="537"/>
      <c r="U820" s="537"/>
    </row>
    <row r="821" spans="1:21" hidden="1" x14ac:dyDescent="0.2">
      <c r="A821" s="537" t="str">
        <f t="shared" si="18"/>
        <v>BLANK...</v>
      </c>
      <c r="B821" s="537" t="s">
        <v>193</v>
      </c>
      <c r="C821" s="537" t="str">
        <f t="shared" si="19"/>
        <v>..</v>
      </c>
      <c r="D821" s="537"/>
      <c r="E821" s="537"/>
      <c r="F821" s="537"/>
      <c r="G821" s="537"/>
      <c r="H821" s="537"/>
      <c r="I821" s="537"/>
      <c r="J821" s="537"/>
      <c r="K821" s="537"/>
      <c r="L821" s="537"/>
      <c r="M821" s="537"/>
      <c r="N821" s="537"/>
      <c r="O821" s="537"/>
      <c r="P821" s="537"/>
      <c r="Q821" s="537"/>
      <c r="R821" s="537"/>
      <c r="S821" s="537"/>
      <c r="T821" s="537"/>
      <c r="U821" s="537"/>
    </row>
    <row r="822" spans="1:21" ht="15" hidden="1" customHeight="1" x14ac:dyDescent="0.2">
      <c r="A822" s="537" t="str">
        <f t="shared" si="18"/>
        <v>BLANK...</v>
      </c>
      <c r="B822" s="537" t="s">
        <v>193</v>
      </c>
      <c r="C822" s="537" t="str">
        <f t="shared" si="19"/>
        <v>..</v>
      </c>
      <c r="D822" s="537"/>
      <c r="E822" s="537"/>
      <c r="F822" s="537"/>
      <c r="G822" s="537"/>
      <c r="H822" s="537"/>
      <c r="I822" s="537"/>
      <c r="J822" s="537"/>
      <c r="K822" s="537"/>
      <c r="L822" s="537"/>
      <c r="M822" s="537"/>
      <c r="N822" s="537"/>
      <c r="O822" s="537"/>
      <c r="P822" s="537"/>
      <c r="Q822" s="537"/>
      <c r="R822" s="537"/>
      <c r="S822" s="537"/>
      <c r="T822" s="537"/>
      <c r="U822" s="537"/>
    </row>
    <row r="823" spans="1:21" ht="15" hidden="1" customHeight="1" x14ac:dyDescent="0.2">
      <c r="A823" s="537" t="str">
        <f t="shared" si="18"/>
        <v>BLANK...</v>
      </c>
      <c r="B823" s="537" t="s">
        <v>193</v>
      </c>
      <c r="C823" s="537" t="str">
        <f t="shared" si="19"/>
        <v>..</v>
      </c>
      <c r="D823" s="537"/>
      <c r="E823" s="537"/>
      <c r="F823" s="537"/>
      <c r="G823" s="537"/>
      <c r="H823" s="537"/>
      <c r="I823" s="537"/>
      <c r="J823" s="537"/>
      <c r="K823" s="537"/>
      <c r="L823" s="537"/>
      <c r="M823" s="537"/>
      <c r="N823" s="537"/>
      <c r="O823" s="537"/>
      <c r="P823" s="537"/>
      <c r="Q823" s="537"/>
      <c r="R823" s="537"/>
      <c r="S823" s="537"/>
      <c r="T823" s="537"/>
      <c r="U823" s="537"/>
    </row>
    <row r="824" spans="1:21" ht="15" hidden="1" customHeight="1" x14ac:dyDescent="0.2">
      <c r="A824" s="537" t="str">
        <f t="shared" si="18"/>
        <v>BLANK...</v>
      </c>
      <c r="B824" s="537" t="s">
        <v>193</v>
      </c>
      <c r="C824" s="537" t="str">
        <f t="shared" si="19"/>
        <v>..</v>
      </c>
      <c r="D824" s="537"/>
      <c r="E824" s="537"/>
      <c r="F824" s="537"/>
      <c r="G824" s="537"/>
      <c r="H824" s="537"/>
      <c r="I824" s="537"/>
      <c r="J824" s="537"/>
      <c r="K824" s="537"/>
      <c r="L824" s="537"/>
      <c r="M824" s="537"/>
      <c r="N824" s="537"/>
      <c r="O824" s="537"/>
      <c r="P824" s="537"/>
      <c r="Q824" s="537"/>
      <c r="R824" s="537"/>
      <c r="S824" s="537"/>
      <c r="T824" s="537"/>
      <c r="U824" s="537"/>
    </row>
    <row r="825" spans="1:21" ht="15" hidden="1" customHeight="1" x14ac:dyDescent="0.2">
      <c r="A825" s="537" t="str">
        <f t="shared" si="18"/>
        <v>BLANK...</v>
      </c>
      <c r="B825" s="537" t="s">
        <v>193</v>
      </c>
      <c r="C825" s="537" t="str">
        <f t="shared" si="19"/>
        <v>..</v>
      </c>
      <c r="D825" s="537"/>
      <c r="E825" s="537"/>
      <c r="F825" s="537"/>
      <c r="G825" s="537"/>
      <c r="H825" s="537"/>
      <c r="I825" s="537"/>
      <c r="J825" s="537"/>
      <c r="K825" s="537"/>
      <c r="L825" s="537"/>
      <c r="M825" s="537"/>
      <c r="N825" s="537"/>
      <c r="O825" s="537"/>
      <c r="P825" s="537"/>
      <c r="Q825" s="537"/>
      <c r="R825" s="537"/>
      <c r="S825" s="537"/>
      <c r="T825" s="537"/>
      <c r="U825" s="537"/>
    </row>
    <row r="826" spans="1:21" ht="15" hidden="1" customHeight="1" x14ac:dyDescent="0.2">
      <c r="A826" s="537" t="str">
        <f t="shared" si="18"/>
        <v>BLANK...</v>
      </c>
      <c r="B826" s="537" t="s">
        <v>193</v>
      </c>
      <c r="C826" s="537" t="str">
        <f t="shared" si="19"/>
        <v>..</v>
      </c>
      <c r="D826" s="537"/>
      <c r="E826" s="537"/>
      <c r="F826" s="537"/>
      <c r="G826" s="537"/>
      <c r="H826" s="537"/>
      <c r="I826" s="537"/>
      <c r="J826" s="537"/>
      <c r="K826" s="537"/>
      <c r="L826" s="537"/>
      <c r="M826" s="537"/>
      <c r="N826" s="537"/>
      <c r="O826" s="537"/>
      <c r="P826" s="537"/>
      <c r="Q826" s="537"/>
      <c r="R826" s="537"/>
      <c r="S826" s="537"/>
      <c r="T826" s="537"/>
      <c r="U826" s="537"/>
    </row>
    <row r="827" spans="1:21" ht="15" hidden="1" customHeight="1" x14ac:dyDescent="0.2">
      <c r="A827" s="537" t="str">
        <f t="shared" si="18"/>
        <v>BLANK...</v>
      </c>
      <c r="B827" s="537" t="s">
        <v>193</v>
      </c>
      <c r="C827" s="537" t="str">
        <f t="shared" si="19"/>
        <v>..</v>
      </c>
      <c r="D827" s="537"/>
      <c r="E827" s="537"/>
      <c r="F827" s="537"/>
      <c r="G827" s="537"/>
      <c r="H827" s="537"/>
      <c r="I827" s="537"/>
      <c r="J827" s="537"/>
      <c r="K827" s="537"/>
      <c r="L827" s="537"/>
      <c r="M827" s="537"/>
      <c r="N827" s="537"/>
      <c r="O827" s="537"/>
      <c r="P827" s="537"/>
      <c r="Q827" s="537"/>
      <c r="R827" s="537"/>
      <c r="S827" s="537"/>
      <c r="T827" s="537"/>
      <c r="U827" s="537"/>
    </row>
    <row r="828" spans="1:21" ht="15" hidden="1" customHeight="1" x14ac:dyDescent="0.2">
      <c r="A828" s="537" t="str">
        <f t="shared" si="18"/>
        <v>BLANK...</v>
      </c>
      <c r="B828" s="537" t="s">
        <v>193</v>
      </c>
      <c r="C828" s="537" t="str">
        <f t="shared" si="19"/>
        <v>..</v>
      </c>
      <c r="D828" s="537"/>
      <c r="E828" s="537"/>
      <c r="F828" s="537"/>
      <c r="G828" s="537"/>
      <c r="H828" s="537"/>
      <c r="I828" s="537"/>
      <c r="J828" s="537"/>
      <c r="K828" s="537"/>
      <c r="L828" s="537"/>
      <c r="M828" s="537"/>
      <c r="N828" s="537"/>
      <c r="O828" s="537"/>
      <c r="P828" s="537"/>
      <c r="Q828" s="537"/>
      <c r="R828" s="537"/>
      <c r="S828" s="537"/>
      <c r="T828" s="537"/>
      <c r="U828" s="537"/>
    </row>
    <row r="829" spans="1:21" ht="15" hidden="1" customHeight="1" x14ac:dyDescent="0.2">
      <c r="A829" s="537" t="str">
        <f t="shared" si="18"/>
        <v>BLANK...</v>
      </c>
      <c r="B829" s="537" t="s">
        <v>193</v>
      </c>
      <c r="C829" s="537" t="str">
        <f t="shared" si="19"/>
        <v>..</v>
      </c>
      <c r="D829" s="537"/>
      <c r="E829" s="537"/>
      <c r="F829" s="537"/>
      <c r="G829" s="537"/>
      <c r="H829" s="537"/>
      <c r="I829" s="537"/>
      <c r="J829" s="537"/>
      <c r="K829" s="537"/>
      <c r="L829" s="537"/>
      <c r="M829" s="537"/>
      <c r="N829" s="537"/>
      <c r="O829" s="537"/>
      <c r="P829" s="537"/>
      <c r="Q829" s="537"/>
      <c r="R829" s="537"/>
      <c r="S829" s="537"/>
      <c r="T829" s="537"/>
      <c r="U829" s="537"/>
    </row>
    <row r="830" spans="1:21" hidden="1" x14ac:dyDescent="0.2">
      <c r="A830" s="537" t="str">
        <f t="shared" si="18"/>
        <v>BLANK...</v>
      </c>
      <c r="B830" s="537" t="s">
        <v>193</v>
      </c>
      <c r="C830" s="537" t="str">
        <f t="shared" si="19"/>
        <v>..</v>
      </c>
      <c r="D830" s="537"/>
      <c r="E830" s="537"/>
      <c r="F830" s="537"/>
      <c r="G830" s="537"/>
      <c r="H830" s="537"/>
      <c r="I830" s="537"/>
      <c r="J830" s="537"/>
      <c r="K830" s="537"/>
      <c r="L830" s="537"/>
      <c r="M830" s="537"/>
      <c r="N830" s="537"/>
      <c r="O830" s="537"/>
      <c r="P830" s="537"/>
      <c r="Q830" s="537"/>
      <c r="R830" s="537"/>
      <c r="S830" s="537"/>
      <c r="T830" s="537"/>
      <c r="U830" s="537"/>
    </row>
    <row r="831" spans="1:21" hidden="1" x14ac:dyDescent="0.2">
      <c r="A831" s="537" t="str">
        <f t="shared" si="18"/>
        <v>BLANK...</v>
      </c>
      <c r="B831" s="537" t="s">
        <v>193</v>
      </c>
      <c r="C831" s="537" t="str">
        <f t="shared" si="19"/>
        <v>..</v>
      </c>
      <c r="D831" s="537"/>
      <c r="E831" s="537"/>
      <c r="F831" s="537"/>
      <c r="G831" s="537"/>
      <c r="H831" s="537"/>
      <c r="I831" s="537"/>
      <c r="J831" s="537"/>
      <c r="K831" s="537"/>
      <c r="L831" s="537"/>
      <c r="M831" s="537"/>
      <c r="N831" s="537"/>
      <c r="O831" s="537"/>
      <c r="P831" s="537"/>
      <c r="Q831" s="537"/>
      <c r="R831" s="537"/>
      <c r="S831" s="537"/>
      <c r="T831" s="537"/>
      <c r="U831" s="537"/>
    </row>
    <row r="832" spans="1:21" hidden="1" x14ac:dyDescent="0.2">
      <c r="A832" s="537" t="str">
        <f t="shared" si="18"/>
        <v>BLANK...</v>
      </c>
      <c r="B832" s="537" t="s">
        <v>193</v>
      </c>
      <c r="C832" s="537" t="str">
        <f t="shared" si="19"/>
        <v>..</v>
      </c>
      <c r="D832" s="537"/>
      <c r="E832" s="537"/>
      <c r="F832" s="537"/>
      <c r="G832" s="537"/>
      <c r="H832" s="537"/>
      <c r="I832" s="537"/>
      <c r="J832" s="537"/>
      <c r="K832" s="537"/>
      <c r="L832" s="537"/>
      <c r="M832" s="537"/>
      <c r="N832" s="537"/>
      <c r="O832" s="537"/>
      <c r="P832" s="537"/>
      <c r="Q832" s="537"/>
      <c r="R832" s="537"/>
      <c r="S832" s="537"/>
      <c r="T832" s="537"/>
      <c r="U832" s="537"/>
    </row>
    <row r="833" spans="1:21" hidden="1" x14ac:dyDescent="0.2">
      <c r="A833" s="537" t="str">
        <f t="shared" si="18"/>
        <v>BLANK...</v>
      </c>
      <c r="B833" s="537" t="s">
        <v>193</v>
      </c>
      <c r="C833" s="537" t="str">
        <f t="shared" si="19"/>
        <v>..</v>
      </c>
      <c r="D833" s="537"/>
      <c r="E833" s="537"/>
      <c r="F833" s="537"/>
      <c r="G833" s="537"/>
      <c r="H833" s="537"/>
      <c r="I833" s="537"/>
      <c r="J833" s="537"/>
      <c r="K833" s="537"/>
      <c r="L833" s="537"/>
      <c r="M833" s="537"/>
      <c r="N833" s="537"/>
      <c r="O833" s="537"/>
      <c r="P833" s="537"/>
      <c r="Q833" s="537"/>
      <c r="R833" s="537"/>
      <c r="S833" s="537"/>
      <c r="T833" s="537"/>
      <c r="U833" s="537"/>
    </row>
    <row r="834" spans="1:21" hidden="1" x14ac:dyDescent="0.2">
      <c r="A834" s="537" t="str">
        <f t="shared" si="18"/>
        <v>BLANK...</v>
      </c>
      <c r="B834" s="537" t="s">
        <v>193</v>
      </c>
      <c r="C834" s="537" t="str">
        <f t="shared" si="19"/>
        <v>..</v>
      </c>
      <c r="D834" s="537"/>
      <c r="E834" s="537"/>
      <c r="F834" s="537"/>
      <c r="G834" s="537"/>
      <c r="H834" s="537"/>
      <c r="I834" s="537"/>
      <c r="J834" s="537"/>
      <c r="K834" s="537"/>
      <c r="L834" s="537"/>
      <c r="M834" s="537"/>
      <c r="N834" s="537"/>
      <c r="O834" s="537"/>
      <c r="P834" s="537"/>
      <c r="Q834" s="537"/>
      <c r="R834" s="537"/>
      <c r="S834" s="537"/>
      <c r="T834" s="537"/>
      <c r="U834" s="537"/>
    </row>
    <row r="835" spans="1:21" hidden="1" x14ac:dyDescent="0.2">
      <c r="A835" s="537" t="str">
        <f t="shared" si="18"/>
        <v>BLANK...</v>
      </c>
      <c r="B835" s="537" t="s">
        <v>193</v>
      </c>
      <c r="C835" s="537" t="str">
        <f t="shared" si="19"/>
        <v>..</v>
      </c>
      <c r="D835" s="537"/>
      <c r="E835" s="537"/>
      <c r="F835" s="537"/>
      <c r="G835" s="537"/>
      <c r="H835" s="537"/>
      <c r="I835" s="537"/>
      <c r="J835" s="537"/>
      <c r="K835" s="537"/>
      <c r="L835" s="537"/>
      <c r="M835" s="537"/>
      <c r="N835" s="537"/>
      <c r="O835" s="537"/>
      <c r="P835" s="537"/>
      <c r="Q835" s="537"/>
      <c r="R835" s="537"/>
      <c r="S835" s="537"/>
      <c r="T835" s="537"/>
      <c r="U835" s="537"/>
    </row>
    <row r="836" spans="1:21" hidden="1" x14ac:dyDescent="0.2">
      <c r="A836" s="537" t="str">
        <f t="shared" si="18"/>
        <v>BLANK...</v>
      </c>
      <c r="B836" s="537" t="s">
        <v>193</v>
      </c>
      <c r="C836" s="537" t="str">
        <f t="shared" si="19"/>
        <v>..</v>
      </c>
      <c r="D836" s="537"/>
      <c r="E836" s="537"/>
      <c r="F836" s="537"/>
      <c r="G836" s="537"/>
      <c r="H836" s="537"/>
      <c r="I836" s="537"/>
      <c r="J836" s="537"/>
      <c r="K836" s="537"/>
      <c r="L836" s="537"/>
      <c r="M836" s="537"/>
      <c r="N836" s="537"/>
      <c r="O836" s="537"/>
      <c r="P836" s="537"/>
      <c r="Q836" s="537"/>
      <c r="R836" s="537"/>
      <c r="S836" s="537"/>
      <c r="T836" s="537"/>
      <c r="U836" s="537"/>
    </row>
    <row r="837" spans="1:21" hidden="1" x14ac:dyDescent="0.2">
      <c r="A837" s="537" t="str">
        <f t="shared" si="18"/>
        <v>BLANK...</v>
      </c>
      <c r="B837" s="537" t="s">
        <v>193</v>
      </c>
      <c r="C837" s="537" t="str">
        <f t="shared" si="19"/>
        <v>..</v>
      </c>
      <c r="D837" s="537"/>
      <c r="E837" s="537"/>
      <c r="F837" s="537"/>
      <c r="G837" s="537"/>
      <c r="H837" s="537"/>
      <c r="I837" s="537"/>
      <c r="J837" s="537"/>
      <c r="K837" s="537"/>
      <c r="L837" s="537"/>
      <c r="M837" s="537"/>
      <c r="N837" s="537"/>
      <c r="O837" s="537"/>
      <c r="P837" s="537"/>
      <c r="Q837" s="537"/>
      <c r="R837" s="537"/>
      <c r="S837" s="537"/>
      <c r="T837" s="537"/>
      <c r="U837" s="537"/>
    </row>
    <row r="838" spans="1:21" hidden="1" x14ac:dyDescent="0.2">
      <c r="A838" s="537" t="str">
        <f t="shared" si="18"/>
        <v>BLANK...</v>
      </c>
      <c r="B838" s="537" t="s">
        <v>193</v>
      </c>
      <c r="C838" s="537" t="str">
        <f t="shared" si="19"/>
        <v>..</v>
      </c>
      <c r="D838" s="537"/>
      <c r="E838" s="537"/>
      <c r="F838" s="537"/>
      <c r="G838" s="537"/>
      <c r="H838" s="537"/>
      <c r="I838" s="537"/>
      <c r="J838" s="537"/>
      <c r="K838" s="537"/>
      <c r="L838" s="537"/>
      <c r="M838" s="537"/>
      <c r="N838" s="537"/>
      <c r="O838" s="537"/>
      <c r="P838" s="537"/>
      <c r="Q838" s="537"/>
      <c r="R838" s="537"/>
      <c r="S838" s="537"/>
      <c r="T838" s="537"/>
      <c r="U838" s="537"/>
    </row>
    <row r="839" spans="1:21" hidden="1" x14ac:dyDescent="0.2">
      <c r="A839" s="537" t="str">
        <f t="shared" si="18"/>
        <v>BLANK...</v>
      </c>
      <c r="B839" s="537" t="s">
        <v>193</v>
      </c>
      <c r="C839" s="537" t="str">
        <f t="shared" si="19"/>
        <v>..</v>
      </c>
      <c r="D839" s="537"/>
      <c r="E839" s="537"/>
      <c r="F839" s="537"/>
      <c r="G839" s="537"/>
      <c r="H839" s="537"/>
      <c r="I839" s="537"/>
      <c r="J839" s="537"/>
      <c r="K839" s="537"/>
      <c r="L839" s="537"/>
      <c r="M839" s="537"/>
      <c r="N839" s="537"/>
      <c r="O839" s="537"/>
      <c r="P839" s="537"/>
      <c r="Q839" s="537"/>
      <c r="R839" s="537"/>
      <c r="S839" s="537"/>
      <c r="T839" s="537"/>
      <c r="U839" s="537"/>
    </row>
    <row r="840" spans="1:21" hidden="1" x14ac:dyDescent="0.2">
      <c r="A840" s="537" t="str">
        <f t="shared" si="18"/>
        <v>BLANK...</v>
      </c>
      <c r="B840" s="537" t="s">
        <v>193</v>
      </c>
      <c r="C840" s="537" t="str">
        <f t="shared" si="19"/>
        <v>..</v>
      </c>
      <c r="D840" s="537"/>
      <c r="E840" s="537"/>
      <c r="F840" s="537"/>
      <c r="G840" s="537"/>
      <c r="H840" s="537"/>
      <c r="I840" s="537"/>
      <c r="J840" s="537"/>
      <c r="K840" s="537"/>
      <c r="L840" s="537"/>
      <c r="M840" s="537"/>
      <c r="N840" s="537"/>
      <c r="O840" s="537"/>
      <c r="P840" s="537"/>
      <c r="Q840" s="537"/>
      <c r="R840" s="537"/>
      <c r="S840" s="537"/>
      <c r="T840" s="537"/>
      <c r="U840" s="537"/>
    </row>
    <row r="841" spans="1:21" hidden="1" x14ac:dyDescent="0.2">
      <c r="A841" s="537" t="str">
        <f t="shared" si="18"/>
        <v>BLANK...</v>
      </c>
      <c r="B841" s="537" t="s">
        <v>193</v>
      </c>
      <c r="C841" s="537" t="str">
        <f t="shared" si="19"/>
        <v>..</v>
      </c>
      <c r="D841" s="537"/>
      <c r="E841" s="537"/>
      <c r="F841" s="537"/>
      <c r="G841" s="537"/>
      <c r="H841" s="537"/>
      <c r="I841" s="537"/>
      <c r="J841" s="537"/>
      <c r="K841" s="537"/>
      <c r="L841" s="537"/>
      <c r="M841" s="537"/>
      <c r="N841" s="537"/>
      <c r="O841" s="537"/>
      <c r="P841" s="537"/>
      <c r="Q841" s="537"/>
      <c r="R841" s="537"/>
      <c r="S841" s="537"/>
      <c r="T841" s="537"/>
      <c r="U841" s="537"/>
    </row>
    <row r="842" spans="1:21" hidden="1" x14ac:dyDescent="0.2">
      <c r="A842" s="537" t="str">
        <f t="shared" si="18"/>
        <v>BLANK...</v>
      </c>
      <c r="B842" s="537" t="s">
        <v>193</v>
      </c>
      <c r="C842" s="537" t="str">
        <f t="shared" si="19"/>
        <v>..</v>
      </c>
      <c r="D842" s="537"/>
      <c r="E842" s="537"/>
      <c r="F842" s="537"/>
      <c r="G842" s="537"/>
      <c r="H842" s="537"/>
      <c r="I842" s="537"/>
      <c r="J842" s="537"/>
      <c r="K842" s="537"/>
      <c r="L842" s="537"/>
      <c r="M842" s="537"/>
      <c r="N842" s="537"/>
      <c r="O842" s="537"/>
      <c r="P842" s="537"/>
      <c r="Q842" s="537"/>
      <c r="R842" s="537"/>
      <c r="S842" s="537"/>
      <c r="T842" s="537"/>
      <c r="U842" s="537"/>
    </row>
    <row r="843" spans="1:21" hidden="1" x14ac:dyDescent="0.2">
      <c r="A843" s="537" t="str">
        <f t="shared" ref="A843:A868" si="22">B843&amp;"."&amp;D843&amp;"."&amp;E843&amp;"."&amp;F843</f>
        <v>BLANK...</v>
      </c>
      <c r="B843" s="537" t="s">
        <v>193</v>
      </c>
      <c r="C843" s="537" t="str">
        <f t="shared" ref="C843:C868" si="23">D843&amp;"."&amp;E843&amp;"."&amp;F843</f>
        <v>..</v>
      </c>
      <c r="D843" s="537"/>
      <c r="E843" s="537"/>
      <c r="F843" s="537"/>
      <c r="G843" s="537"/>
      <c r="H843" s="537"/>
      <c r="I843" s="537"/>
      <c r="J843" s="537"/>
      <c r="K843" s="537"/>
      <c r="L843" s="537"/>
      <c r="M843" s="537"/>
      <c r="N843" s="537"/>
      <c r="O843" s="537"/>
      <c r="P843" s="537"/>
      <c r="Q843" s="537"/>
      <c r="R843" s="537"/>
      <c r="S843" s="537"/>
      <c r="T843" s="537"/>
      <c r="U843" s="537"/>
    </row>
    <row r="844" spans="1:21" hidden="1" x14ac:dyDescent="0.2">
      <c r="A844" s="537" t="str">
        <f t="shared" si="22"/>
        <v>BLANK...</v>
      </c>
      <c r="B844" s="537" t="s">
        <v>193</v>
      </c>
      <c r="C844" s="537" t="str">
        <f t="shared" si="23"/>
        <v>..</v>
      </c>
      <c r="D844" s="537"/>
      <c r="E844" s="537"/>
      <c r="F844" s="537"/>
      <c r="G844" s="537"/>
      <c r="H844" s="537"/>
      <c r="I844" s="537"/>
      <c r="J844" s="537"/>
      <c r="K844" s="537"/>
      <c r="L844" s="537"/>
      <c r="M844" s="537"/>
      <c r="N844" s="537"/>
      <c r="O844" s="537"/>
      <c r="P844" s="537"/>
      <c r="Q844" s="537"/>
      <c r="R844" s="537"/>
      <c r="S844" s="537"/>
      <c r="T844" s="537"/>
      <c r="U844" s="537"/>
    </row>
    <row r="845" spans="1:21" hidden="1" x14ac:dyDescent="0.2">
      <c r="A845" s="537" t="str">
        <f t="shared" si="22"/>
        <v>BLANK...</v>
      </c>
      <c r="B845" s="537" t="s">
        <v>193</v>
      </c>
      <c r="C845" s="537" t="str">
        <f t="shared" si="23"/>
        <v>..</v>
      </c>
      <c r="D845" s="537"/>
      <c r="E845" s="537"/>
      <c r="F845" s="537"/>
      <c r="G845" s="537"/>
      <c r="H845" s="537"/>
      <c r="I845" s="537"/>
      <c r="J845" s="537"/>
      <c r="K845" s="537"/>
      <c r="L845" s="537"/>
      <c r="M845" s="537"/>
      <c r="N845" s="537"/>
      <c r="O845" s="537"/>
      <c r="P845" s="537"/>
      <c r="Q845" s="537"/>
      <c r="R845" s="537"/>
      <c r="S845" s="537"/>
      <c r="T845" s="537"/>
      <c r="U845" s="537"/>
    </row>
    <row r="846" spans="1:21" hidden="1" x14ac:dyDescent="0.2">
      <c r="A846" s="537" t="str">
        <f t="shared" si="22"/>
        <v>BLANK...</v>
      </c>
      <c r="B846" s="537" t="s">
        <v>193</v>
      </c>
      <c r="C846" s="537" t="str">
        <f t="shared" si="23"/>
        <v>..</v>
      </c>
      <c r="D846" s="537"/>
      <c r="E846" s="537"/>
      <c r="F846" s="537"/>
      <c r="G846" s="537"/>
      <c r="H846" s="537"/>
      <c r="I846" s="537"/>
      <c r="J846" s="537"/>
      <c r="K846" s="537"/>
      <c r="L846" s="537"/>
      <c r="M846" s="537"/>
      <c r="N846" s="537"/>
      <c r="O846" s="537"/>
      <c r="P846" s="537"/>
      <c r="Q846" s="537"/>
      <c r="R846" s="537"/>
      <c r="S846" s="537"/>
      <c r="T846" s="537"/>
      <c r="U846" s="537"/>
    </row>
    <row r="847" spans="1:21" hidden="1" x14ac:dyDescent="0.2">
      <c r="A847" s="537" t="str">
        <f t="shared" si="22"/>
        <v>BLANK...</v>
      </c>
      <c r="B847" s="537" t="s">
        <v>193</v>
      </c>
      <c r="C847" s="537" t="str">
        <f t="shared" si="23"/>
        <v>..</v>
      </c>
      <c r="D847" s="537"/>
      <c r="E847" s="537"/>
      <c r="F847" s="537"/>
      <c r="G847" s="537"/>
      <c r="H847" s="537"/>
      <c r="I847" s="537"/>
      <c r="J847" s="537"/>
      <c r="K847" s="537"/>
      <c r="L847" s="537"/>
      <c r="M847" s="537"/>
      <c r="N847" s="537"/>
      <c r="O847" s="537"/>
      <c r="P847" s="537"/>
      <c r="Q847" s="537"/>
      <c r="R847" s="537"/>
      <c r="S847" s="537"/>
      <c r="T847" s="537"/>
      <c r="U847" s="537"/>
    </row>
    <row r="848" spans="1:21" ht="15" hidden="1" customHeight="1" x14ac:dyDescent="0.2">
      <c r="A848" s="537" t="str">
        <f t="shared" si="22"/>
        <v>BLANK...</v>
      </c>
      <c r="B848" s="537" t="s">
        <v>193</v>
      </c>
      <c r="C848" s="537" t="str">
        <f t="shared" si="23"/>
        <v>..</v>
      </c>
      <c r="D848" s="537"/>
      <c r="E848" s="537"/>
      <c r="F848" s="537"/>
      <c r="G848" s="537"/>
      <c r="H848" s="537"/>
      <c r="I848" s="537"/>
      <c r="J848" s="537"/>
      <c r="K848" s="537"/>
      <c r="L848" s="537"/>
      <c r="M848" s="537"/>
      <c r="N848" s="537"/>
      <c r="O848" s="537"/>
      <c r="P848" s="537"/>
      <c r="Q848" s="537"/>
      <c r="R848" s="537"/>
      <c r="S848" s="537"/>
      <c r="T848" s="537"/>
      <c r="U848" s="537"/>
    </row>
    <row r="849" spans="1:21" ht="15" hidden="1" customHeight="1" x14ac:dyDescent="0.2">
      <c r="A849" s="537" t="str">
        <f t="shared" si="22"/>
        <v>BLANK...</v>
      </c>
      <c r="B849" s="537" t="s">
        <v>193</v>
      </c>
      <c r="C849" s="537" t="str">
        <f t="shared" si="23"/>
        <v>..</v>
      </c>
      <c r="D849" s="537"/>
      <c r="E849" s="537"/>
      <c r="F849" s="537"/>
      <c r="G849" s="537"/>
      <c r="H849" s="537"/>
      <c r="I849" s="537"/>
      <c r="J849" s="537"/>
      <c r="K849" s="537"/>
      <c r="L849" s="537"/>
      <c r="M849" s="537"/>
      <c r="N849" s="537"/>
      <c r="O849" s="537"/>
      <c r="P849" s="537"/>
      <c r="Q849" s="537"/>
      <c r="R849" s="537"/>
      <c r="S849" s="537"/>
      <c r="T849" s="537"/>
      <c r="U849" s="537"/>
    </row>
    <row r="850" spans="1:21" ht="15" hidden="1" customHeight="1" x14ac:dyDescent="0.2">
      <c r="A850" s="537" t="str">
        <f t="shared" si="22"/>
        <v>BLANK...</v>
      </c>
      <c r="B850" s="537" t="s">
        <v>193</v>
      </c>
      <c r="C850" s="537" t="str">
        <f t="shared" si="23"/>
        <v>..</v>
      </c>
      <c r="D850" s="537"/>
      <c r="E850" s="537"/>
      <c r="F850" s="537"/>
      <c r="G850" s="537"/>
      <c r="H850" s="537"/>
      <c r="I850" s="537"/>
      <c r="J850" s="537"/>
      <c r="K850" s="537"/>
      <c r="L850" s="537"/>
      <c r="M850" s="537"/>
      <c r="N850" s="537"/>
      <c r="O850" s="537"/>
      <c r="P850" s="537"/>
      <c r="Q850" s="537"/>
      <c r="R850" s="537"/>
      <c r="S850" s="537"/>
      <c r="T850" s="537"/>
      <c r="U850" s="537"/>
    </row>
    <row r="851" spans="1:21" ht="15" hidden="1" customHeight="1" x14ac:dyDescent="0.2">
      <c r="A851" s="537" t="str">
        <f t="shared" si="22"/>
        <v>BLANK...</v>
      </c>
      <c r="B851" s="537" t="s">
        <v>193</v>
      </c>
      <c r="C851" s="537" t="str">
        <f t="shared" si="23"/>
        <v>..</v>
      </c>
      <c r="D851" s="537"/>
      <c r="E851" s="537"/>
      <c r="F851" s="537"/>
      <c r="G851" s="537"/>
      <c r="H851" s="537"/>
      <c r="I851" s="537"/>
      <c r="J851" s="537"/>
      <c r="K851" s="537"/>
      <c r="L851" s="537"/>
      <c r="M851" s="537"/>
      <c r="N851" s="537"/>
      <c r="O851" s="537"/>
      <c r="P851" s="537"/>
      <c r="Q851" s="537"/>
      <c r="R851" s="537"/>
      <c r="S851" s="537"/>
      <c r="T851" s="537"/>
      <c r="U851" s="537"/>
    </row>
    <row r="852" spans="1:21" ht="15" hidden="1" customHeight="1" x14ac:dyDescent="0.2">
      <c r="A852" s="537" t="str">
        <f t="shared" si="22"/>
        <v>BLANK...</v>
      </c>
      <c r="B852" s="537" t="s">
        <v>193</v>
      </c>
      <c r="C852" s="537" t="str">
        <f t="shared" si="23"/>
        <v>..</v>
      </c>
      <c r="D852" s="537"/>
      <c r="E852" s="537"/>
      <c r="F852" s="537"/>
      <c r="G852" s="537"/>
      <c r="H852" s="537"/>
      <c r="I852" s="537"/>
      <c r="J852" s="537"/>
      <c r="K852" s="537"/>
      <c r="L852" s="537"/>
      <c r="M852" s="537"/>
      <c r="N852" s="537"/>
      <c r="O852" s="537"/>
      <c r="P852" s="537"/>
      <c r="Q852" s="537"/>
      <c r="R852" s="537"/>
      <c r="S852" s="537"/>
      <c r="T852" s="537"/>
      <c r="U852" s="537"/>
    </row>
    <row r="853" spans="1:21" ht="15" hidden="1" customHeight="1" x14ac:dyDescent="0.2">
      <c r="A853" s="537" t="str">
        <f t="shared" si="22"/>
        <v>BLANK...</v>
      </c>
      <c r="B853" s="537" t="s">
        <v>193</v>
      </c>
      <c r="C853" s="537" t="str">
        <f t="shared" si="23"/>
        <v>..</v>
      </c>
      <c r="D853" s="537"/>
      <c r="E853" s="537"/>
      <c r="F853" s="537"/>
      <c r="G853" s="537"/>
      <c r="H853" s="537"/>
      <c r="I853" s="537"/>
      <c r="J853" s="537"/>
      <c r="K853" s="537"/>
      <c r="L853" s="537"/>
      <c r="M853" s="537"/>
      <c r="N853" s="537"/>
      <c r="O853" s="537"/>
      <c r="P853" s="537"/>
      <c r="Q853" s="537"/>
      <c r="R853" s="537"/>
      <c r="S853" s="537"/>
      <c r="T853" s="537"/>
      <c r="U853" s="537"/>
    </row>
    <row r="854" spans="1:21" ht="15" hidden="1" customHeight="1" x14ac:dyDescent="0.2">
      <c r="A854" s="537" t="str">
        <f t="shared" si="22"/>
        <v>BLANK...</v>
      </c>
      <c r="B854" s="537" t="s">
        <v>193</v>
      </c>
      <c r="C854" s="537" t="str">
        <f t="shared" si="23"/>
        <v>..</v>
      </c>
      <c r="D854" s="537"/>
      <c r="E854" s="537"/>
      <c r="F854" s="537"/>
      <c r="G854" s="537"/>
      <c r="H854" s="537"/>
      <c r="I854" s="537"/>
      <c r="J854" s="537"/>
      <c r="K854" s="537"/>
      <c r="L854" s="537"/>
      <c r="M854" s="537"/>
      <c r="N854" s="537"/>
      <c r="O854" s="537"/>
      <c r="P854" s="537"/>
      <c r="Q854" s="537"/>
      <c r="R854" s="537"/>
      <c r="S854" s="537"/>
      <c r="T854" s="537"/>
      <c r="U854" s="537"/>
    </row>
    <row r="855" spans="1:21" ht="15" hidden="1" customHeight="1" x14ac:dyDescent="0.2">
      <c r="A855" s="537" t="str">
        <f t="shared" si="22"/>
        <v>BLANK...</v>
      </c>
      <c r="B855" s="537" t="s">
        <v>193</v>
      </c>
      <c r="C855" s="537" t="str">
        <f t="shared" si="23"/>
        <v>..</v>
      </c>
      <c r="D855" s="537"/>
      <c r="E855" s="537"/>
      <c r="F855" s="537"/>
      <c r="G855" s="537"/>
      <c r="H855" s="537"/>
      <c r="I855" s="537"/>
      <c r="J855" s="537"/>
      <c r="K855" s="537"/>
      <c r="L855" s="537"/>
      <c r="M855" s="537"/>
      <c r="N855" s="537"/>
      <c r="O855" s="537"/>
      <c r="P855" s="537"/>
      <c r="Q855" s="537"/>
      <c r="R855" s="537"/>
      <c r="S855" s="537"/>
      <c r="T855" s="537"/>
      <c r="U855" s="537"/>
    </row>
    <row r="856" spans="1:21" hidden="1" x14ac:dyDescent="0.2">
      <c r="A856" s="537" t="str">
        <f t="shared" si="22"/>
        <v>BLANK...</v>
      </c>
      <c r="B856" s="537" t="s">
        <v>193</v>
      </c>
      <c r="C856" s="537" t="str">
        <f t="shared" si="23"/>
        <v>..</v>
      </c>
      <c r="D856" s="537"/>
      <c r="E856" s="537"/>
      <c r="F856" s="537"/>
      <c r="G856" s="537"/>
      <c r="H856" s="537"/>
      <c r="I856" s="537"/>
      <c r="J856" s="537"/>
      <c r="K856" s="537"/>
      <c r="L856" s="537"/>
      <c r="M856" s="537"/>
      <c r="N856" s="537"/>
      <c r="O856" s="537"/>
      <c r="P856" s="537"/>
      <c r="Q856" s="537"/>
      <c r="R856" s="537"/>
      <c r="S856" s="537"/>
      <c r="T856" s="537"/>
      <c r="U856" s="537"/>
    </row>
    <row r="857" spans="1:21" hidden="1" x14ac:dyDescent="0.2">
      <c r="A857" s="537" t="str">
        <f t="shared" si="22"/>
        <v>BLANK...</v>
      </c>
      <c r="B857" s="537" t="s">
        <v>193</v>
      </c>
      <c r="C857" s="537" t="str">
        <f t="shared" si="23"/>
        <v>..</v>
      </c>
      <c r="D857" s="537"/>
      <c r="E857" s="537"/>
      <c r="F857" s="537"/>
      <c r="G857" s="537"/>
      <c r="H857" s="537"/>
      <c r="I857" s="537"/>
      <c r="J857" s="537"/>
      <c r="K857" s="537"/>
      <c r="L857" s="537"/>
      <c r="M857" s="537"/>
      <c r="N857" s="537"/>
      <c r="O857" s="537"/>
      <c r="P857" s="537"/>
      <c r="Q857" s="537"/>
      <c r="R857" s="537"/>
      <c r="S857" s="537"/>
      <c r="T857" s="537"/>
      <c r="U857" s="537"/>
    </row>
    <row r="858" spans="1:21" hidden="1" x14ac:dyDescent="0.2">
      <c r="A858" s="537" t="str">
        <f t="shared" si="22"/>
        <v>BLANK...</v>
      </c>
      <c r="B858" s="537" t="s">
        <v>193</v>
      </c>
      <c r="C858" s="537" t="str">
        <f t="shared" si="23"/>
        <v>..</v>
      </c>
      <c r="D858" s="537"/>
      <c r="E858" s="537"/>
      <c r="F858" s="537"/>
      <c r="G858" s="537"/>
      <c r="H858" s="537"/>
      <c r="I858" s="537"/>
      <c r="J858" s="537"/>
      <c r="K858" s="537"/>
      <c r="L858" s="537"/>
      <c r="M858" s="537"/>
      <c r="N858" s="537"/>
      <c r="O858" s="537"/>
      <c r="P858" s="537"/>
      <c r="Q858" s="537"/>
      <c r="R858" s="537"/>
      <c r="S858" s="537"/>
      <c r="T858" s="537"/>
      <c r="U858" s="537"/>
    </row>
    <row r="859" spans="1:21" hidden="1" x14ac:dyDescent="0.2">
      <c r="A859" s="537" t="str">
        <f t="shared" si="22"/>
        <v>BLANK...</v>
      </c>
      <c r="B859" s="537" t="s">
        <v>193</v>
      </c>
      <c r="C859" s="537" t="str">
        <f t="shared" si="23"/>
        <v>..</v>
      </c>
      <c r="D859" s="537"/>
      <c r="E859" s="537"/>
      <c r="F859" s="537"/>
      <c r="G859" s="537"/>
      <c r="H859" s="537"/>
      <c r="I859" s="537"/>
      <c r="J859" s="537"/>
      <c r="K859" s="537"/>
      <c r="L859" s="537"/>
      <c r="M859" s="537"/>
      <c r="N859" s="537"/>
      <c r="O859" s="537"/>
      <c r="P859" s="537"/>
      <c r="Q859" s="537"/>
      <c r="R859" s="537"/>
      <c r="S859" s="537"/>
      <c r="T859" s="537"/>
      <c r="U859" s="537"/>
    </row>
    <row r="860" spans="1:21" hidden="1" x14ac:dyDescent="0.2">
      <c r="A860" s="537" t="str">
        <f t="shared" si="22"/>
        <v>BLANK...</v>
      </c>
      <c r="B860" s="537" t="s">
        <v>193</v>
      </c>
      <c r="C860" s="537" t="str">
        <f t="shared" si="23"/>
        <v>..</v>
      </c>
      <c r="D860" s="537"/>
      <c r="E860" s="537"/>
      <c r="F860" s="537"/>
      <c r="G860" s="537"/>
      <c r="H860" s="537"/>
      <c r="I860" s="537"/>
      <c r="J860" s="537"/>
      <c r="K860" s="537"/>
      <c r="L860" s="537"/>
      <c r="M860" s="537"/>
      <c r="N860" s="537"/>
      <c r="O860" s="537"/>
      <c r="P860" s="537"/>
      <c r="Q860" s="537"/>
      <c r="R860" s="537"/>
      <c r="S860" s="537"/>
      <c r="T860" s="537"/>
      <c r="U860" s="537"/>
    </row>
    <row r="861" spans="1:21" hidden="1" x14ac:dyDescent="0.2">
      <c r="A861" s="537" t="str">
        <f t="shared" si="22"/>
        <v>BLANK...</v>
      </c>
      <c r="B861" s="537" t="s">
        <v>193</v>
      </c>
      <c r="C861" s="537" t="str">
        <f t="shared" si="23"/>
        <v>..</v>
      </c>
      <c r="D861" s="537"/>
      <c r="E861" s="537"/>
      <c r="F861" s="537"/>
      <c r="G861" s="537"/>
      <c r="H861" s="537"/>
      <c r="I861" s="537"/>
      <c r="J861" s="537"/>
      <c r="K861" s="537"/>
      <c r="L861" s="537"/>
      <c r="M861" s="537"/>
      <c r="N861" s="537"/>
      <c r="O861" s="537"/>
      <c r="P861" s="537"/>
      <c r="Q861" s="537"/>
      <c r="R861" s="537"/>
      <c r="S861" s="537"/>
      <c r="T861" s="537"/>
      <c r="U861" s="537"/>
    </row>
    <row r="862" spans="1:21" hidden="1" x14ac:dyDescent="0.2">
      <c r="A862" s="537" t="str">
        <f t="shared" si="22"/>
        <v>BLANK...</v>
      </c>
      <c r="B862" s="537" t="s">
        <v>193</v>
      </c>
      <c r="C862" s="537" t="str">
        <f t="shared" si="23"/>
        <v>..</v>
      </c>
      <c r="D862" s="537"/>
      <c r="E862" s="537"/>
      <c r="F862" s="537"/>
      <c r="G862" s="537"/>
      <c r="H862" s="537"/>
      <c r="I862" s="537"/>
      <c r="J862" s="537"/>
      <c r="K862" s="537"/>
      <c r="L862" s="537"/>
      <c r="M862" s="537"/>
      <c r="N862" s="537"/>
      <c r="O862" s="537"/>
      <c r="P862" s="537"/>
      <c r="Q862" s="537"/>
      <c r="R862" s="537"/>
      <c r="S862" s="537"/>
      <c r="T862" s="537"/>
      <c r="U862" s="537"/>
    </row>
    <row r="863" spans="1:21" hidden="1" x14ac:dyDescent="0.2">
      <c r="A863" s="537" t="str">
        <f t="shared" si="22"/>
        <v>BLANK...</v>
      </c>
      <c r="B863" s="537" t="s">
        <v>193</v>
      </c>
      <c r="C863" s="537" t="str">
        <f t="shared" si="23"/>
        <v>..</v>
      </c>
      <c r="D863" s="537"/>
      <c r="E863" s="537"/>
      <c r="F863" s="537"/>
      <c r="G863" s="537"/>
      <c r="H863" s="537"/>
      <c r="I863" s="537"/>
      <c r="J863" s="537"/>
      <c r="K863" s="537"/>
      <c r="L863" s="537"/>
      <c r="M863" s="537"/>
      <c r="N863" s="537"/>
      <c r="O863" s="537"/>
      <c r="P863" s="537"/>
      <c r="Q863" s="537"/>
      <c r="R863" s="537"/>
      <c r="S863" s="537"/>
      <c r="T863" s="537"/>
      <c r="U863" s="537"/>
    </row>
    <row r="864" spans="1:21" hidden="1" x14ac:dyDescent="0.2">
      <c r="A864" s="537" t="str">
        <f t="shared" si="22"/>
        <v>BLANK...</v>
      </c>
      <c r="B864" s="537" t="s">
        <v>193</v>
      </c>
      <c r="C864" s="537" t="str">
        <f t="shared" si="23"/>
        <v>..</v>
      </c>
      <c r="D864" s="537"/>
      <c r="E864" s="537"/>
      <c r="F864" s="537"/>
      <c r="G864" s="537"/>
      <c r="H864" s="537"/>
      <c r="I864" s="537"/>
      <c r="J864" s="537"/>
      <c r="K864" s="537"/>
      <c r="L864" s="537"/>
      <c r="M864" s="537"/>
      <c r="N864" s="537"/>
      <c r="O864" s="537"/>
      <c r="P864" s="537"/>
      <c r="Q864" s="537"/>
      <c r="R864" s="537"/>
      <c r="S864" s="537"/>
      <c r="T864" s="537"/>
      <c r="U864" s="537"/>
    </row>
    <row r="865" spans="1:21" hidden="1" x14ac:dyDescent="0.2">
      <c r="A865" s="537" t="str">
        <f t="shared" si="22"/>
        <v>BLANK...</v>
      </c>
      <c r="B865" s="537" t="s">
        <v>193</v>
      </c>
      <c r="C865" s="537" t="str">
        <f t="shared" si="23"/>
        <v>..</v>
      </c>
      <c r="D865" s="537"/>
      <c r="E865" s="537"/>
      <c r="F865" s="537"/>
      <c r="G865" s="537"/>
      <c r="H865" s="537"/>
      <c r="I865" s="537"/>
      <c r="J865" s="537"/>
      <c r="K865" s="537"/>
      <c r="L865" s="537"/>
      <c r="M865" s="537"/>
      <c r="N865" s="537"/>
      <c r="O865" s="537"/>
      <c r="P865" s="537"/>
      <c r="Q865" s="537"/>
      <c r="R865" s="537"/>
      <c r="S865" s="537"/>
      <c r="T865" s="537"/>
      <c r="U865" s="537"/>
    </row>
    <row r="866" spans="1:21" hidden="1" x14ac:dyDescent="0.2">
      <c r="A866" s="537" t="str">
        <f t="shared" si="22"/>
        <v>BLANK...</v>
      </c>
      <c r="B866" s="537" t="s">
        <v>193</v>
      </c>
      <c r="C866" s="537" t="str">
        <f t="shared" si="23"/>
        <v>..</v>
      </c>
      <c r="D866" s="537"/>
      <c r="E866" s="537"/>
      <c r="F866" s="537"/>
      <c r="G866" s="537"/>
      <c r="H866" s="537"/>
      <c r="I866" s="537"/>
      <c r="J866" s="537"/>
      <c r="K866" s="537"/>
      <c r="L866" s="537"/>
      <c r="M866" s="537"/>
      <c r="N866" s="537"/>
      <c r="O866" s="537"/>
      <c r="P866" s="537"/>
      <c r="Q866" s="537"/>
      <c r="R866" s="537"/>
      <c r="S866" s="537"/>
      <c r="T866" s="537"/>
      <c r="U866" s="537"/>
    </row>
    <row r="867" spans="1:21" hidden="1" x14ac:dyDescent="0.2">
      <c r="A867" s="537" t="str">
        <f t="shared" si="22"/>
        <v>BLANK...</v>
      </c>
      <c r="B867" s="537" t="s">
        <v>193</v>
      </c>
      <c r="C867" s="537" t="str">
        <f t="shared" si="23"/>
        <v>..</v>
      </c>
      <c r="D867" s="537"/>
      <c r="E867" s="537"/>
      <c r="F867" s="537"/>
      <c r="G867" s="537"/>
      <c r="H867" s="537"/>
      <c r="I867" s="537"/>
      <c r="J867" s="537"/>
      <c r="K867" s="537"/>
      <c r="L867" s="537"/>
      <c r="M867" s="537"/>
      <c r="N867" s="537"/>
      <c r="O867" s="537"/>
      <c r="P867" s="537"/>
      <c r="Q867" s="537"/>
      <c r="R867" s="537"/>
      <c r="S867" s="537"/>
      <c r="T867" s="537"/>
      <c r="U867" s="537"/>
    </row>
    <row r="868" spans="1:21" hidden="1" x14ac:dyDescent="0.2">
      <c r="A868" s="537" t="str">
        <f t="shared" si="22"/>
        <v>BLANK...</v>
      </c>
      <c r="B868" s="537" t="s">
        <v>193</v>
      </c>
      <c r="C868" s="537" t="str">
        <f t="shared" si="23"/>
        <v>..</v>
      </c>
      <c r="D868" s="537"/>
      <c r="E868" s="537"/>
      <c r="F868" s="537"/>
      <c r="G868" s="537"/>
      <c r="H868" s="537"/>
      <c r="I868" s="537"/>
      <c r="J868" s="537"/>
      <c r="K868" s="537"/>
      <c r="L868" s="537"/>
      <c r="M868" s="537"/>
      <c r="N868" s="537"/>
      <c r="O868" s="537"/>
      <c r="P868" s="537"/>
      <c r="Q868" s="537"/>
      <c r="R868" s="537"/>
      <c r="S868" s="537"/>
      <c r="T868" s="537"/>
      <c r="U868" s="537"/>
    </row>
    <row r="869" spans="1:21" hidden="1" x14ac:dyDescent="0.2">
      <c r="A869" s="537" t="str">
        <f t="shared" si="18"/>
        <v>BLANK...</v>
      </c>
      <c r="B869" s="537" t="s">
        <v>193</v>
      </c>
      <c r="C869" s="537" t="str">
        <f t="shared" si="19"/>
        <v>..</v>
      </c>
      <c r="D869" s="537"/>
      <c r="E869" s="537"/>
      <c r="F869" s="537"/>
      <c r="G869" s="537"/>
      <c r="H869" s="537"/>
      <c r="I869" s="537"/>
      <c r="J869" s="537"/>
      <c r="K869" s="537"/>
      <c r="L869" s="537"/>
      <c r="M869" s="537"/>
      <c r="N869" s="537"/>
      <c r="O869" s="537"/>
      <c r="P869" s="537"/>
      <c r="Q869" s="537"/>
      <c r="R869" s="537"/>
      <c r="S869" s="537"/>
      <c r="T869" s="537"/>
      <c r="U869" s="537"/>
    </row>
    <row r="870" spans="1:21" hidden="1" x14ac:dyDescent="0.2">
      <c r="A870" s="537" t="str">
        <f t="shared" si="18"/>
        <v>BLANK...</v>
      </c>
      <c r="B870" s="537" t="s">
        <v>193</v>
      </c>
      <c r="C870" s="537" t="str">
        <f t="shared" si="19"/>
        <v>..</v>
      </c>
      <c r="D870" s="537"/>
      <c r="E870" s="537"/>
      <c r="F870" s="537"/>
      <c r="G870" s="537"/>
      <c r="H870" s="537"/>
      <c r="I870" s="537"/>
      <c r="J870" s="537"/>
      <c r="K870" s="537"/>
      <c r="L870" s="537"/>
      <c r="M870" s="537"/>
      <c r="N870" s="537"/>
      <c r="O870" s="537"/>
      <c r="P870" s="537"/>
      <c r="Q870" s="537"/>
      <c r="R870" s="537"/>
      <c r="S870" s="537"/>
      <c r="T870" s="537"/>
      <c r="U870" s="537"/>
    </row>
    <row r="871" spans="1:21" hidden="1" x14ac:dyDescent="0.2">
      <c r="A871" s="537" t="str">
        <f t="shared" si="18"/>
        <v>BLANK...</v>
      </c>
      <c r="B871" s="537" t="s">
        <v>193</v>
      </c>
      <c r="C871" s="537" t="str">
        <f t="shared" si="19"/>
        <v>..</v>
      </c>
      <c r="D871" s="537"/>
      <c r="E871" s="537"/>
      <c r="F871" s="537"/>
      <c r="G871" s="537"/>
      <c r="H871" s="537"/>
      <c r="I871" s="537"/>
      <c r="J871" s="537"/>
      <c r="K871" s="537"/>
      <c r="L871" s="537"/>
      <c r="M871" s="537"/>
      <c r="N871" s="537"/>
      <c r="O871" s="537"/>
      <c r="P871" s="537"/>
      <c r="Q871" s="537"/>
      <c r="R871" s="537"/>
      <c r="S871" s="537"/>
      <c r="T871" s="537"/>
      <c r="U871" s="537"/>
    </row>
    <row r="872" spans="1:21" hidden="1" x14ac:dyDescent="0.2">
      <c r="A872" s="537" t="str">
        <f t="shared" si="18"/>
        <v>BLANK...</v>
      </c>
      <c r="B872" s="537" t="s">
        <v>193</v>
      </c>
      <c r="C872" s="537" t="str">
        <f t="shared" si="19"/>
        <v>..</v>
      </c>
      <c r="D872" s="537"/>
      <c r="E872" s="537"/>
      <c r="F872" s="537"/>
      <c r="G872" s="537"/>
      <c r="H872" s="537"/>
      <c r="I872" s="537"/>
      <c r="J872" s="537"/>
      <c r="K872" s="537"/>
      <c r="L872" s="537"/>
      <c r="M872" s="537"/>
      <c r="N872" s="537"/>
      <c r="O872" s="537"/>
      <c r="P872" s="537"/>
      <c r="Q872" s="537"/>
      <c r="R872" s="537"/>
      <c r="S872" s="537"/>
      <c r="T872" s="537"/>
      <c r="U872" s="537"/>
    </row>
    <row r="873" spans="1:21" hidden="1" x14ac:dyDescent="0.2">
      <c r="A873" s="537" t="str">
        <f t="shared" si="18"/>
        <v>BLANK...</v>
      </c>
      <c r="B873" s="537" t="s">
        <v>193</v>
      </c>
      <c r="C873" s="537" t="str">
        <f t="shared" si="19"/>
        <v>..</v>
      </c>
      <c r="D873" s="537"/>
      <c r="E873" s="537"/>
      <c r="F873" s="537"/>
      <c r="G873" s="537"/>
      <c r="H873" s="537"/>
      <c r="I873" s="537"/>
      <c r="J873" s="537"/>
      <c r="K873" s="537"/>
      <c r="L873" s="537"/>
      <c r="M873" s="537"/>
      <c r="N873" s="537"/>
      <c r="O873" s="537"/>
      <c r="P873" s="537"/>
      <c r="Q873" s="537"/>
      <c r="R873" s="537"/>
      <c r="S873" s="537"/>
      <c r="T873" s="537"/>
      <c r="U873" s="537"/>
    </row>
    <row r="874" spans="1:21" ht="15" hidden="1" customHeight="1" x14ac:dyDescent="0.2">
      <c r="A874" s="537" t="str">
        <f t="shared" si="18"/>
        <v>BLANK...</v>
      </c>
      <c r="B874" s="537" t="s">
        <v>193</v>
      </c>
      <c r="C874" s="537" t="str">
        <f t="shared" si="19"/>
        <v>..</v>
      </c>
      <c r="D874" s="537"/>
      <c r="E874" s="537"/>
      <c r="F874" s="537"/>
      <c r="G874" s="537"/>
      <c r="H874" s="537"/>
      <c r="I874" s="537"/>
      <c r="J874" s="537"/>
      <c r="K874" s="537"/>
      <c r="L874" s="537"/>
      <c r="M874" s="537"/>
      <c r="N874" s="537"/>
      <c r="O874" s="537"/>
      <c r="P874" s="537"/>
      <c r="Q874" s="537"/>
      <c r="R874" s="537"/>
      <c r="S874" s="537"/>
      <c r="T874" s="537"/>
      <c r="U874" s="537"/>
    </row>
    <row r="875" spans="1:21" ht="15" hidden="1" customHeight="1" x14ac:dyDescent="0.2">
      <c r="A875" s="537" t="str">
        <f t="shared" si="18"/>
        <v>BLANK...</v>
      </c>
      <c r="B875" s="537" t="s">
        <v>193</v>
      </c>
      <c r="C875" s="537" t="str">
        <f t="shared" si="19"/>
        <v>..</v>
      </c>
      <c r="D875" s="537"/>
      <c r="E875" s="537"/>
      <c r="F875" s="537"/>
      <c r="G875" s="537"/>
      <c r="H875" s="537"/>
      <c r="I875" s="537"/>
      <c r="J875" s="537"/>
      <c r="K875" s="537"/>
      <c r="L875" s="537"/>
      <c r="M875" s="537"/>
      <c r="N875" s="537"/>
      <c r="O875" s="537"/>
      <c r="P875" s="537"/>
      <c r="Q875" s="537"/>
      <c r="R875" s="537"/>
      <c r="S875" s="537"/>
      <c r="T875" s="537"/>
      <c r="U875" s="537"/>
    </row>
    <row r="876" spans="1:21" ht="15" hidden="1" customHeight="1" x14ac:dyDescent="0.2">
      <c r="A876" s="537" t="str">
        <f t="shared" si="18"/>
        <v>BLANK...</v>
      </c>
      <c r="B876" s="537" t="s">
        <v>193</v>
      </c>
      <c r="C876" s="537" t="str">
        <f t="shared" si="19"/>
        <v>..</v>
      </c>
      <c r="D876" s="537"/>
      <c r="E876" s="537"/>
      <c r="F876" s="537"/>
      <c r="G876" s="537"/>
      <c r="H876" s="537"/>
      <c r="I876" s="537"/>
      <c r="J876" s="537"/>
      <c r="K876" s="537"/>
      <c r="L876" s="537"/>
      <c r="M876" s="537"/>
      <c r="N876" s="537"/>
      <c r="O876" s="537"/>
      <c r="P876" s="537"/>
      <c r="Q876" s="537"/>
      <c r="R876" s="537"/>
      <c r="S876" s="537"/>
      <c r="T876" s="537"/>
      <c r="U876" s="537"/>
    </row>
    <row r="877" spans="1:21" ht="15" hidden="1" customHeight="1" x14ac:dyDescent="0.2">
      <c r="A877" s="537" t="str">
        <f t="shared" si="18"/>
        <v>BLANK...</v>
      </c>
      <c r="B877" s="537" t="s">
        <v>193</v>
      </c>
      <c r="C877" s="537" t="str">
        <f t="shared" si="19"/>
        <v>..</v>
      </c>
      <c r="D877" s="537"/>
      <c r="E877" s="537"/>
      <c r="F877" s="537"/>
      <c r="G877" s="537"/>
      <c r="H877" s="537"/>
      <c r="I877" s="537"/>
      <c r="J877" s="537"/>
      <c r="K877" s="537"/>
      <c r="L877" s="537"/>
      <c r="M877" s="537"/>
      <c r="N877" s="537"/>
      <c r="O877" s="537"/>
      <c r="P877" s="537"/>
      <c r="Q877" s="537"/>
      <c r="R877" s="537"/>
      <c r="S877" s="537"/>
      <c r="T877" s="537"/>
      <c r="U877" s="537"/>
    </row>
    <row r="878" spans="1:21" ht="15" hidden="1" customHeight="1" x14ac:dyDescent="0.2">
      <c r="A878" s="537" t="str">
        <f t="shared" si="18"/>
        <v>BLANK...</v>
      </c>
      <c r="B878" s="537" t="s">
        <v>193</v>
      </c>
      <c r="C878" s="537" t="str">
        <f t="shared" si="19"/>
        <v>..</v>
      </c>
      <c r="D878" s="537"/>
      <c r="E878" s="537"/>
      <c r="F878" s="537"/>
      <c r="G878" s="537"/>
      <c r="H878" s="537"/>
      <c r="I878" s="537"/>
      <c r="J878" s="537"/>
      <c r="K878" s="537"/>
      <c r="L878" s="537"/>
      <c r="M878" s="537"/>
      <c r="N878" s="537"/>
      <c r="O878" s="537"/>
      <c r="P878" s="537"/>
      <c r="Q878" s="537"/>
      <c r="R878" s="537"/>
      <c r="S878" s="537"/>
      <c r="T878" s="537"/>
      <c r="U878" s="537"/>
    </row>
    <row r="879" spans="1:21" ht="15" hidden="1" customHeight="1" x14ac:dyDescent="0.2">
      <c r="A879" s="537" t="str">
        <f t="shared" si="18"/>
        <v>BLANK...</v>
      </c>
      <c r="B879" s="537" t="s">
        <v>193</v>
      </c>
      <c r="C879" s="537" t="str">
        <f t="shared" si="19"/>
        <v>..</v>
      </c>
      <c r="D879" s="537"/>
      <c r="E879" s="537"/>
      <c r="F879" s="537"/>
      <c r="G879" s="537"/>
      <c r="H879" s="537"/>
      <c r="I879" s="537"/>
      <c r="J879" s="537"/>
      <c r="K879" s="537"/>
      <c r="L879" s="537"/>
      <c r="M879" s="537"/>
      <c r="N879" s="537"/>
      <c r="O879" s="537"/>
      <c r="P879" s="537"/>
      <c r="Q879" s="537"/>
      <c r="R879" s="537"/>
      <c r="S879" s="537"/>
      <c r="T879" s="537"/>
      <c r="U879" s="537"/>
    </row>
    <row r="880" spans="1:21" ht="15" hidden="1" customHeight="1" x14ac:dyDescent="0.2">
      <c r="A880" s="537" t="str">
        <f t="shared" si="18"/>
        <v>BLANK...</v>
      </c>
      <c r="B880" s="537" t="s">
        <v>193</v>
      </c>
      <c r="C880" s="537" t="str">
        <f t="shared" si="19"/>
        <v>..</v>
      </c>
      <c r="D880" s="537"/>
      <c r="E880" s="537"/>
      <c r="F880" s="537"/>
      <c r="G880" s="537"/>
      <c r="H880" s="537"/>
      <c r="I880" s="537"/>
      <c r="J880" s="537"/>
      <c r="K880" s="537"/>
      <c r="L880" s="537"/>
      <c r="M880" s="537"/>
      <c r="N880" s="537"/>
      <c r="O880" s="537"/>
      <c r="P880" s="537"/>
      <c r="Q880" s="537"/>
      <c r="R880" s="537"/>
      <c r="S880" s="537"/>
      <c r="T880" s="537"/>
      <c r="U880" s="537"/>
    </row>
    <row r="881" spans="1:21" ht="15" hidden="1" customHeight="1" x14ac:dyDescent="0.2">
      <c r="A881" s="537" t="str">
        <f t="shared" si="18"/>
        <v>BLANK...</v>
      </c>
      <c r="B881" s="537" t="s">
        <v>193</v>
      </c>
      <c r="C881" s="537" t="str">
        <f t="shared" si="19"/>
        <v>..</v>
      </c>
      <c r="D881" s="537"/>
      <c r="E881" s="537"/>
      <c r="F881" s="537"/>
      <c r="G881" s="537"/>
      <c r="H881" s="537"/>
      <c r="I881" s="537"/>
      <c r="J881" s="537"/>
      <c r="K881" s="537"/>
      <c r="L881" s="537"/>
      <c r="M881" s="537"/>
      <c r="N881" s="537"/>
      <c r="O881" s="537"/>
      <c r="P881" s="537"/>
      <c r="Q881" s="537"/>
      <c r="R881" s="537"/>
      <c r="S881" s="537"/>
      <c r="T881" s="537"/>
      <c r="U881" s="537"/>
    </row>
    <row r="882" spans="1:21" hidden="1" x14ac:dyDescent="0.2">
      <c r="A882" s="537" t="str">
        <f t="shared" si="18"/>
        <v>BLANK...</v>
      </c>
      <c r="B882" s="537" t="s">
        <v>193</v>
      </c>
      <c r="C882" s="537" t="str">
        <f t="shared" si="19"/>
        <v>..</v>
      </c>
      <c r="D882" s="537"/>
      <c r="E882" s="537"/>
      <c r="F882" s="537"/>
      <c r="G882" s="537"/>
      <c r="H882" s="537"/>
      <c r="I882" s="537"/>
      <c r="J882" s="537"/>
      <c r="K882" s="537"/>
      <c r="L882" s="537"/>
      <c r="M882" s="537"/>
      <c r="N882" s="537"/>
      <c r="O882" s="537"/>
      <c r="P882" s="537"/>
      <c r="Q882" s="537"/>
      <c r="R882" s="537"/>
      <c r="S882" s="537"/>
      <c r="T882" s="537"/>
      <c r="U882" s="537"/>
    </row>
    <row r="883" spans="1:21" hidden="1" x14ac:dyDescent="0.2">
      <c r="A883" s="537" t="str">
        <f t="shared" si="18"/>
        <v>BLANK...</v>
      </c>
      <c r="B883" s="537" t="s">
        <v>193</v>
      </c>
      <c r="C883" s="537" t="str">
        <f t="shared" si="19"/>
        <v>..</v>
      </c>
      <c r="D883" s="537"/>
      <c r="E883" s="537"/>
      <c r="F883" s="537"/>
      <c r="G883" s="537"/>
      <c r="H883" s="537"/>
      <c r="I883" s="537"/>
      <c r="J883" s="537"/>
      <c r="K883" s="537"/>
      <c r="L883" s="537"/>
      <c r="M883" s="537"/>
      <c r="N883" s="537"/>
      <c r="O883" s="537"/>
      <c r="P883" s="537"/>
      <c r="Q883" s="537"/>
      <c r="R883" s="537"/>
      <c r="S883" s="537"/>
      <c r="T883" s="537"/>
      <c r="U883" s="537"/>
    </row>
    <row r="884" spans="1:21" hidden="1" x14ac:dyDescent="0.2">
      <c r="A884" s="537" t="str">
        <f t="shared" si="18"/>
        <v>BLANK...</v>
      </c>
      <c r="B884" s="537" t="s">
        <v>193</v>
      </c>
      <c r="C884" s="537" t="str">
        <f t="shared" si="19"/>
        <v>..</v>
      </c>
      <c r="D884" s="537"/>
      <c r="E884" s="537"/>
      <c r="F884" s="537"/>
      <c r="G884" s="537"/>
      <c r="H884" s="537"/>
      <c r="I884" s="537"/>
      <c r="J884" s="537"/>
      <c r="K884" s="537"/>
      <c r="L884" s="537"/>
      <c r="M884" s="537"/>
      <c r="N884" s="537"/>
      <c r="O884" s="537"/>
      <c r="P884" s="537"/>
      <c r="Q884" s="537"/>
      <c r="R884" s="537"/>
      <c r="S884" s="537"/>
      <c r="T884" s="537"/>
      <c r="U884" s="537"/>
    </row>
    <row r="885" spans="1:21" hidden="1" x14ac:dyDescent="0.2">
      <c r="A885" s="537" t="str">
        <f t="shared" si="18"/>
        <v>BLANK...</v>
      </c>
      <c r="B885" s="537" t="s">
        <v>193</v>
      </c>
      <c r="C885" s="537" t="str">
        <f t="shared" si="19"/>
        <v>..</v>
      </c>
      <c r="D885" s="537"/>
      <c r="E885" s="537"/>
      <c r="F885" s="537"/>
      <c r="G885" s="537"/>
      <c r="H885" s="537"/>
      <c r="I885" s="537"/>
      <c r="J885" s="537"/>
      <c r="K885" s="537"/>
      <c r="L885" s="537"/>
      <c r="M885" s="537"/>
      <c r="N885" s="537"/>
      <c r="O885" s="537"/>
      <c r="P885" s="537"/>
      <c r="Q885" s="537"/>
      <c r="R885" s="537"/>
      <c r="S885" s="537"/>
      <c r="T885" s="537"/>
      <c r="U885" s="537"/>
    </row>
    <row r="886" spans="1:21" hidden="1" x14ac:dyDescent="0.2">
      <c r="A886" s="537" t="str">
        <f t="shared" si="18"/>
        <v>BLANK...</v>
      </c>
      <c r="B886" s="537" t="s">
        <v>193</v>
      </c>
      <c r="C886" s="537" t="str">
        <f t="shared" si="19"/>
        <v>..</v>
      </c>
      <c r="D886" s="537"/>
      <c r="E886" s="537"/>
      <c r="F886" s="537"/>
      <c r="G886" s="537"/>
      <c r="H886" s="537"/>
      <c r="I886" s="537"/>
      <c r="J886" s="537"/>
      <c r="K886" s="537"/>
      <c r="L886" s="537"/>
      <c r="M886" s="537"/>
      <c r="N886" s="537"/>
      <c r="O886" s="537"/>
      <c r="P886" s="537"/>
      <c r="Q886" s="537"/>
      <c r="R886" s="537"/>
      <c r="S886" s="537"/>
      <c r="T886" s="537"/>
      <c r="U886" s="537"/>
    </row>
    <row r="887" spans="1:21" hidden="1" x14ac:dyDescent="0.2">
      <c r="A887" s="537" t="str">
        <f t="shared" si="18"/>
        <v>BLANK...</v>
      </c>
      <c r="B887" s="537" t="s">
        <v>193</v>
      </c>
      <c r="C887" s="537" t="str">
        <f t="shared" si="19"/>
        <v>..</v>
      </c>
      <c r="D887" s="537"/>
      <c r="E887" s="537"/>
      <c r="F887" s="537"/>
      <c r="G887" s="537"/>
      <c r="H887" s="537"/>
      <c r="I887" s="537"/>
      <c r="J887" s="537"/>
      <c r="K887" s="537"/>
      <c r="L887" s="537"/>
      <c r="M887" s="537"/>
      <c r="N887" s="537"/>
      <c r="O887" s="537"/>
      <c r="P887" s="537"/>
      <c r="Q887" s="537"/>
      <c r="R887" s="537"/>
      <c r="S887" s="537"/>
      <c r="T887" s="537"/>
      <c r="U887" s="537"/>
    </row>
    <row r="888" spans="1:21" hidden="1" x14ac:dyDescent="0.2">
      <c r="A888" s="537" t="str">
        <f t="shared" si="18"/>
        <v>BLANK...</v>
      </c>
      <c r="B888" s="537" t="s">
        <v>193</v>
      </c>
      <c r="C888" s="537" t="str">
        <f t="shared" si="19"/>
        <v>..</v>
      </c>
      <c r="D888" s="537"/>
      <c r="E888" s="537"/>
      <c r="F888" s="537"/>
      <c r="G888" s="537"/>
      <c r="H888" s="537"/>
      <c r="I888" s="537"/>
      <c r="J888" s="537"/>
      <c r="K888" s="537"/>
      <c r="L888" s="537"/>
      <c r="M888" s="537"/>
      <c r="N888" s="537"/>
      <c r="O888" s="537"/>
      <c r="P888" s="537"/>
      <c r="Q888" s="537"/>
      <c r="R888" s="537"/>
      <c r="S888" s="537"/>
      <c r="T888" s="537"/>
      <c r="U888" s="537"/>
    </row>
    <row r="889" spans="1:21" hidden="1" x14ac:dyDescent="0.2">
      <c r="A889" s="537" t="str">
        <f t="shared" si="18"/>
        <v>BLANK...</v>
      </c>
      <c r="B889" s="537" t="s">
        <v>193</v>
      </c>
      <c r="C889" s="537" t="str">
        <f t="shared" si="19"/>
        <v>..</v>
      </c>
      <c r="D889" s="537"/>
      <c r="E889" s="537"/>
      <c r="F889" s="537"/>
      <c r="G889" s="537"/>
      <c r="H889" s="537"/>
      <c r="I889" s="537"/>
      <c r="J889" s="537"/>
      <c r="K889" s="537"/>
      <c r="L889" s="537"/>
      <c r="M889" s="537"/>
      <c r="N889" s="537"/>
      <c r="O889" s="537"/>
      <c r="P889" s="537"/>
      <c r="Q889" s="537"/>
      <c r="R889" s="537"/>
      <c r="S889" s="537"/>
      <c r="T889" s="537"/>
      <c r="U889" s="537"/>
    </row>
    <row r="890" spans="1:21" hidden="1" x14ac:dyDescent="0.2">
      <c r="A890" s="537" t="str">
        <f t="shared" si="18"/>
        <v>BLANK...</v>
      </c>
      <c r="B890" s="537" t="s">
        <v>193</v>
      </c>
      <c r="C890" s="537" t="str">
        <f t="shared" si="19"/>
        <v>..</v>
      </c>
      <c r="D890" s="537"/>
      <c r="E890" s="537"/>
      <c r="F890" s="537"/>
      <c r="G890" s="537"/>
      <c r="H890" s="537"/>
      <c r="I890" s="537"/>
      <c r="J890" s="537"/>
      <c r="K890" s="537"/>
      <c r="L890" s="537"/>
      <c r="M890" s="537"/>
      <c r="N890" s="537"/>
      <c r="O890" s="537"/>
      <c r="P890" s="537"/>
      <c r="Q890" s="537"/>
      <c r="R890" s="537"/>
      <c r="S890" s="537"/>
      <c r="T890" s="537"/>
      <c r="U890" s="537"/>
    </row>
    <row r="891" spans="1:21" hidden="1" x14ac:dyDescent="0.2">
      <c r="A891" s="537" t="str">
        <f t="shared" si="18"/>
        <v>BLANK...</v>
      </c>
      <c r="B891" s="537" t="s">
        <v>193</v>
      </c>
      <c r="C891" s="537" t="str">
        <f t="shared" si="19"/>
        <v>..</v>
      </c>
      <c r="D891" s="537"/>
      <c r="E891" s="537"/>
      <c r="F891" s="537"/>
      <c r="G891" s="537"/>
      <c r="H891" s="537"/>
      <c r="I891" s="537"/>
      <c r="J891" s="537"/>
      <c r="K891" s="537"/>
      <c r="L891" s="537"/>
      <c r="M891" s="537"/>
      <c r="N891" s="537"/>
      <c r="O891" s="537"/>
      <c r="P891" s="537"/>
      <c r="Q891" s="537"/>
      <c r="R891" s="537"/>
      <c r="S891" s="537"/>
      <c r="T891" s="537"/>
      <c r="U891" s="537"/>
    </row>
    <row r="892" spans="1:21" hidden="1" x14ac:dyDescent="0.2">
      <c r="A892" s="537" t="str">
        <f t="shared" si="18"/>
        <v>BLANK...</v>
      </c>
      <c r="B892" s="537" t="s">
        <v>193</v>
      </c>
      <c r="C892" s="537" t="str">
        <f t="shared" si="19"/>
        <v>..</v>
      </c>
      <c r="D892" s="537"/>
      <c r="E892" s="537"/>
      <c r="F892" s="537"/>
      <c r="G892" s="537"/>
      <c r="H892" s="537"/>
      <c r="I892" s="537"/>
      <c r="J892" s="537"/>
      <c r="K892" s="537"/>
      <c r="L892" s="537"/>
      <c r="M892" s="537"/>
      <c r="N892" s="537"/>
      <c r="O892" s="537"/>
      <c r="P892" s="537"/>
      <c r="Q892" s="537"/>
      <c r="R892" s="537"/>
      <c r="S892" s="537"/>
      <c r="T892" s="537"/>
      <c r="U892" s="537"/>
    </row>
    <row r="893" spans="1:21" hidden="1" x14ac:dyDescent="0.2">
      <c r="A893" s="537" t="str">
        <f t="shared" si="18"/>
        <v>BLANK...</v>
      </c>
      <c r="B893" s="537" t="s">
        <v>193</v>
      </c>
      <c r="C893" s="537" t="str">
        <f t="shared" si="19"/>
        <v>..</v>
      </c>
      <c r="D893" s="537"/>
      <c r="E893" s="537"/>
      <c r="F893" s="537"/>
      <c r="G893" s="537"/>
      <c r="H893" s="537"/>
      <c r="I893" s="537"/>
      <c r="J893" s="537"/>
      <c r="K893" s="537"/>
      <c r="L893" s="537"/>
      <c r="M893" s="537"/>
      <c r="N893" s="537"/>
      <c r="O893" s="537"/>
      <c r="P893" s="537"/>
      <c r="Q893" s="537"/>
      <c r="R893" s="537"/>
      <c r="S893" s="537"/>
      <c r="T893" s="537"/>
      <c r="U893" s="537"/>
    </row>
    <row r="894" spans="1:21" hidden="1" x14ac:dyDescent="0.2">
      <c r="A894" s="537" t="str">
        <f t="shared" si="18"/>
        <v>BLANK...</v>
      </c>
      <c r="B894" s="537" t="s">
        <v>193</v>
      </c>
      <c r="C894" s="537" t="str">
        <f t="shared" si="19"/>
        <v>..</v>
      </c>
      <c r="D894" s="537"/>
      <c r="E894" s="537"/>
      <c r="F894" s="537"/>
      <c r="G894" s="537"/>
      <c r="H894" s="537"/>
      <c r="I894" s="537"/>
      <c r="J894" s="537"/>
      <c r="K894" s="537"/>
      <c r="L894" s="537"/>
      <c r="M894" s="537"/>
      <c r="N894" s="537"/>
      <c r="O894" s="537"/>
      <c r="P894" s="537"/>
      <c r="Q894" s="537"/>
      <c r="R894" s="537"/>
      <c r="S894" s="537"/>
      <c r="T894" s="537"/>
      <c r="U894" s="537"/>
    </row>
    <row r="895" spans="1:21" hidden="1" x14ac:dyDescent="0.2">
      <c r="A895" s="537" t="str">
        <f t="shared" ref="A895" si="24">B895&amp;"."&amp;D895&amp;"."&amp;E895&amp;"."&amp;F895</f>
        <v>BLANK...</v>
      </c>
      <c r="B895" s="537" t="s">
        <v>193</v>
      </c>
      <c r="C895" s="537" t="str">
        <f t="shared" ref="C895" si="25">D895&amp;"."&amp;E895&amp;"."&amp;F895</f>
        <v>..</v>
      </c>
      <c r="D895" s="537"/>
      <c r="E895" s="537"/>
      <c r="F895" s="537"/>
      <c r="G895" s="537"/>
      <c r="H895" s="537"/>
      <c r="I895" s="537"/>
      <c r="J895" s="537"/>
      <c r="K895" s="537"/>
      <c r="L895" s="537"/>
      <c r="M895" s="537"/>
      <c r="N895" s="537"/>
      <c r="O895" s="537"/>
      <c r="P895" s="537"/>
      <c r="Q895" s="537"/>
      <c r="R895" s="537"/>
      <c r="S895" s="537"/>
      <c r="T895" s="537"/>
      <c r="U895" s="537"/>
    </row>
    <row r="896" spans="1:21" hidden="1" x14ac:dyDescent="0.2">
      <c r="A896" s="537" t="str">
        <f t="shared" ref="A896:A900" si="26">B896&amp;"."&amp;D896&amp;"."&amp;E896&amp;"."&amp;F896</f>
        <v>BLANK...</v>
      </c>
      <c r="B896" s="537" t="s">
        <v>193</v>
      </c>
      <c r="C896" s="537" t="str">
        <f t="shared" ref="C896:C900" si="27">D896&amp;"."&amp;E896&amp;"."&amp;F896</f>
        <v>..</v>
      </c>
      <c r="D896" s="537"/>
      <c r="E896" s="537"/>
      <c r="F896" s="537"/>
      <c r="G896" s="537"/>
      <c r="H896" s="537"/>
      <c r="I896" s="537"/>
      <c r="J896" s="537"/>
      <c r="K896" s="537"/>
      <c r="L896" s="537"/>
      <c r="M896" s="537"/>
      <c r="N896" s="537"/>
      <c r="O896" s="537"/>
      <c r="P896" s="537"/>
      <c r="Q896" s="537"/>
      <c r="R896" s="537"/>
      <c r="S896" s="537"/>
      <c r="T896" s="537"/>
      <c r="U896" s="537"/>
    </row>
    <row r="897" spans="1:21" hidden="1" x14ac:dyDescent="0.2">
      <c r="A897" s="537" t="str">
        <f t="shared" si="26"/>
        <v>BLANK...</v>
      </c>
      <c r="B897" s="537" t="s">
        <v>193</v>
      </c>
      <c r="C897" s="537" t="str">
        <f t="shared" si="27"/>
        <v>..</v>
      </c>
      <c r="D897" s="537"/>
      <c r="E897" s="537"/>
      <c r="F897" s="537"/>
      <c r="G897" s="537"/>
      <c r="H897" s="537"/>
      <c r="I897" s="537"/>
      <c r="J897" s="537"/>
      <c r="K897" s="537"/>
      <c r="L897" s="537"/>
      <c r="M897" s="537"/>
      <c r="N897" s="537"/>
      <c r="O897" s="537"/>
      <c r="P897" s="537"/>
      <c r="Q897" s="537"/>
      <c r="R897" s="537"/>
      <c r="S897" s="537"/>
      <c r="T897" s="537"/>
      <c r="U897" s="537"/>
    </row>
    <row r="898" spans="1:21" hidden="1" x14ac:dyDescent="0.2">
      <c r="A898" s="537" t="str">
        <f t="shared" si="26"/>
        <v>BLANK...</v>
      </c>
      <c r="B898" s="537" t="s">
        <v>193</v>
      </c>
      <c r="C898" s="537" t="str">
        <f t="shared" si="27"/>
        <v>..</v>
      </c>
      <c r="D898" s="537"/>
      <c r="E898" s="537"/>
      <c r="F898" s="537"/>
      <c r="G898" s="537"/>
      <c r="H898" s="537"/>
      <c r="I898" s="537"/>
      <c r="J898" s="537"/>
      <c r="K898" s="537"/>
      <c r="L898" s="537"/>
      <c r="M898" s="537"/>
      <c r="N898" s="537"/>
      <c r="O898" s="537"/>
      <c r="P898" s="537"/>
      <c r="Q898" s="537"/>
      <c r="R898" s="537"/>
      <c r="S898" s="537"/>
      <c r="T898" s="537"/>
      <c r="U898" s="537"/>
    </row>
    <row r="899" spans="1:21" hidden="1" x14ac:dyDescent="0.2">
      <c r="A899" s="537" t="str">
        <f t="shared" si="26"/>
        <v>BLANK...</v>
      </c>
      <c r="B899" s="537" t="s">
        <v>193</v>
      </c>
      <c r="C899" s="537" t="str">
        <f t="shared" si="27"/>
        <v>..</v>
      </c>
      <c r="D899" s="537"/>
      <c r="E899" s="537"/>
      <c r="F899" s="537"/>
      <c r="G899" s="537"/>
      <c r="H899" s="537"/>
      <c r="I899" s="537"/>
      <c r="J899" s="537"/>
      <c r="K899" s="537"/>
      <c r="L899" s="537"/>
      <c r="M899" s="537"/>
      <c r="N899" s="537"/>
      <c r="O899" s="537"/>
      <c r="P899" s="537"/>
      <c r="Q899" s="537"/>
      <c r="R899" s="537"/>
      <c r="S899" s="537"/>
      <c r="T899" s="537"/>
      <c r="U899" s="537"/>
    </row>
    <row r="900" spans="1:21" ht="15" hidden="1" customHeight="1" x14ac:dyDescent="0.2">
      <c r="A900" s="537" t="str">
        <f t="shared" si="26"/>
        <v>BLANK...</v>
      </c>
      <c r="B900" s="537" t="s">
        <v>193</v>
      </c>
      <c r="C900" s="537" t="str">
        <f t="shared" si="27"/>
        <v>..</v>
      </c>
      <c r="D900" s="537"/>
      <c r="E900" s="537"/>
      <c r="F900" s="537"/>
      <c r="G900" s="537"/>
      <c r="H900" s="537"/>
      <c r="I900" s="537"/>
      <c r="J900" s="537"/>
      <c r="K900" s="537"/>
      <c r="L900" s="537"/>
      <c r="M900" s="537"/>
      <c r="N900" s="537"/>
      <c r="O900" s="537"/>
      <c r="P900" s="537"/>
      <c r="Q900" s="537"/>
      <c r="R900" s="537"/>
      <c r="S900" s="537"/>
      <c r="T900" s="537"/>
      <c r="U900" s="537"/>
    </row>
    <row r="901" spans="1:21" ht="15" hidden="1" customHeight="1" x14ac:dyDescent="0.2">
      <c r="A901" s="537" t="str">
        <f t="shared" ref="A901:A913" si="28">B901&amp;"."&amp;D901&amp;"."&amp;E901&amp;"."&amp;F901</f>
        <v>BLANK...</v>
      </c>
      <c r="B901" s="537" t="s">
        <v>193</v>
      </c>
      <c r="C901" s="537" t="str">
        <f t="shared" ref="C901:C913" si="29">D901&amp;"."&amp;E901&amp;"."&amp;F901</f>
        <v>..</v>
      </c>
      <c r="D901" s="537"/>
      <c r="E901" s="537"/>
      <c r="F901" s="537"/>
      <c r="G901" s="537"/>
      <c r="H901" s="537"/>
      <c r="I901" s="537"/>
      <c r="J901" s="537"/>
      <c r="K901" s="537"/>
      <c r="L901" s="537"/>
      <c r="M901" s="537"/>
      <c r="N901" s="537"/>
      <c r="O901" s="537"/>
      <c r="P901" s="537"/>
      <c r="Q901" s="537"/>
      <c r="R901" s="537"/>
      <c r="S901" s="537"/>
      <c r="T901" s="537"/>
      <c r="U901" s="537"/>
    </row>
    <row r="902" spans="1:21" ht="15" hidden="1" customHeight="1" x14ac:dyDescent="0.2">
      <c r="A902" s="537" t="str">
        <f t="shared" si="28"/>
        <v>BLANK...</v>
      </c>
      <c r="B902" s="537" t="s">
        <v>193</v>
      </c>
      <c r="C902" s="537" t="str">
        <f t="shared" si="29"/>
        <v>..</v>
      </c>
      <c r="D902" s="537"/>
      <c r="E902" s="537"/>
      <c r="F902" s="537"/>
      <c r="G902" s="537"/>
      <c r="H902" s="537"/>
      <c r="I902" s="537"/>
      <c r="J902" s="537"/>
      <c r="K902" s="537"/>
      <c r="L902" s="537"/>
      <c r="M902" s="537"/>
      <c r="N902" s="537"/>
      <c r="O902" s="537"/>
      <c r="P902" s="537"/>
      <c r="Q902" s="537"/>
      <c r="R902" s="537"/>
      <c r="S902" s="537"/>
      <c r="T902" s="537"/>
      <c r="U902" s="537"/>
    </row>
    <row r="903" spans="1:21" ht="15" hidden="1" customHeight="1" x14ac:dyDescent="0.2">
      <c r="A903" s="537" t="str">
        <f t="shared" si="28"/>
        <v>BLANK...</v>
      </c>
      <c r="B903" s="537" t="s">
        <v>193</v>
      </c>
      <c r="C903" s="537" t="str">
        <f t="shared" si="29"/>
        <v>..</v>
      </c>
      <c r="D903" s="537"/>
      <c r="E903" s="537"/>
      <c r="F903" s="537"/>
      <c r="G903" s="537"/>
      <c r="H903" s="537"/>
      <c r="I903" s="537"/>
      <c r="J903" s="537"/>
      <c r="K903" s="537"/>
      <c r="L903" s="537"/>
      <c r="M903" s="537"/>
      <c r="N903" s="537"/>
      <c r="O903" s="537"/>
      <c r="P903" s="537"/>
      <c r="Q903" s="537"/>
      <c r="R903" s="537"/>
      <c r="S903" s="537"/>
      <c r="T903" s="537"/>
      <c r="U903" s="537"/>
    </row>
    <row r="904" spans="1:21" ht="15" hidden="1" customHeight="1" x14ac:dyDescent="0.2">
      <c r="A904" s="537" t="str">
        <f t="shared" si="28"/>
        <v>BLANK...</v>
      </c>
      <c r="B904" s="537" t="s">
        <v>193</v>
      </c>
      <c r="C904" s="537" t="str">
        <f t="shared" si="29"/>
        <v>..</v>
      </c>
      <c r="D904" s="537"/>
      <c r="E904" s="537"/>
      <c r="F904" s="537"/>
      <c r="G904" s="537"/>
      <c r="H904" s="537"/>
      <c r="I904" s="537"/>
      <c r="J904" s="537"/>
      <c r="K904" s="537"/>
      <c r="L904" s="537"/>
      <c r="M904" s="537"/>
      <c r="N904" s="537"/>
      <c r="O904" s="537"/>
      <c r="P904" s="537"/>
      <c r="Q904" s="537"/>
      <c r="R904" s="537"/>
      <c r="S904" s="537"/>
      <c r="T904" s="537"/>
      <c r="U904" s="537"/>
    </row>
    <row r="905" spans="1:21" ht="15" hidden="1" customHeight="1" x14ac:dyDescent="0.2">
      <c r="A905" s="537" t="str">
        <f t="shared" si="28"/>
        <v>BLANK...</v>
      </c>
      <c r="B905" s="537" t="s">
        <v>193</v>
      </c>
      <c r="C905" s="537" t="str">
        <f t="shared" si="29"/>
        <v>..</v>
      </c>
      <c r="D905" s="537"/>
      <c r="E905" s="537"/>
      <c r="F905" s="537"/>
      <c r="G905" s="537"/>
      <c r="H905" s="537"/>
      <c r="I905" s="537"/>
      <c r="J905" s="537"/>
      <c r="K905" s="537"/>
      <c r="L905" s="537"/>
      <c r="M905" s="537"/>
      <c r="N905" s="537"/>
      <c r="O905" s="537"/>
      <c r="P905" s="537"/>
      <c r="Q905" s="537"/>
      <c r="R905" s="537"/>
      <c r="S905" s="537"/>
      <c r="T905" s="537"/>
      <c r="U905" s="537"/>
    </row>
    <row r="906" spans="1:21" ht="15" hidden="1" customHeight="1" x14ac:dyDescent="0.2">
      <c r="A906" s="537" t="str">
        <f t="shared" si="28"/>
        <v>BLANK...</v>
      </c>
      <c r="B906" s="537" t="s">
        <v>193</v>
      </c>
      <c r="C906" s="537" t="str">
        <f t="shared" si="29"/>
        <v>..</v>
      </c>
      <c r="D906" s="537"/>
      <c r="E906" s="537"/>
      <c r="F906" s="537"/>
      <c r="G906" s="537"/>
      <c r="H906" s="537"/>
      <c r="I906" s="537"/>
      <c r="J906" s="537"/>
      <c r="K906" s="537"/>
      <c r="L906" s="537"/>
      <c r="M906" s="537"/>
      <c r="N906" s="537"/>
      <c r="O906" s="537"/>
      <c r="P906" s="537"/>
      <c r="Q906" s="537"/>
      <c r="R906" s="537"/>
      <c r="S906" s="537"/>
      <c r="T906" s="537"/>
      <c r="U906" s="537"/>
    </row>
    <row r="907" spans="1:21" ht="15" hidden="1" customHeight="1" x14ac:dyDescent="0.2">
      <c r="A907" s="537" t="str">
        <f t="shared" si="28"/>
        <v>BLANK...</v>
      </c>
      <c r="B907" s="537" t="s">
        <v>193</v>
      </c>
      <c r="C907" s="537" t="str">
        <f t="shared" si="29"/>
        <v>..</v>
      </c>
      <c r="D907" s="537"/>
      <c r="E907" s="537"/>
      <c r="F907" s="537"/>
      <c r="G907" s="537"/>
      <c r="H907" s="537"/>
      <c r="I907" s="537"/>
      <c r="J907" s="537"/>
      <c r="K907" s="537"/>
      <c r="L907" s="537"/>
      <c r="M907" s="537"/>
      <c r="N907" s="537"/>
      <c r="O907" s="537"/>
      <c r="P907" s="537"/>
      <c r="Q907" s="537"/>
      <c r="R907" s="537"/>
      <c r="S907" s="537"/>
      <c r="T907" s="537"/>
      <c r="U907" s="537"/>
    </row>
    <row r="908" spans="1:21" hidden="1" x14ac:dyDescent="0.2">
      <c r="A908" s="537" t="str">
        <f t="shared" si="28"/>
        <v>BLANK...</v>
      </c>
      <c r="B908" s="537" t="s">
        <v>193</v>
      </c>
      <c r="C908" s="537" t="str">
        <f t="shared" si="29"/>
        <v>..</v>
      </c>
      <c r="D908" s="537"/>
      <c r="E908" s="537"/>
      <c r="F908" s="537"/>
      <c r="G908" s="537"/>
      <c r="H908" s="537"/>
      <c r="I908" s="537"/>
      <c r="J908" s="537"/>
      <c r="K908" s="537"/>
      <c r="L908" s="537"/>
      <c r="M908" s="537"/>
      <c r="N908" s="537"/>
      <c r="O908" s="537"/>
      <c r="P908" s="537"/>
      <c r="Q908" s="537"/>
      <c r="R908" s="537"/>
      <c r="S908" s="537"/>
      <c r="T908" s="537"/>
      <c r="U908" s="537"/>
    </row>
    <row r="909" spans="1:21" hidden="1" x14ac:dyDescent="0.2">
      <c r="A909" s="537" t="str">
        <f t="shared" si="28"/>
        <v>BLANK...</v>
      </c>
      <c r="B909" s="537" t="s">
        <v>193</v>
      </c>
      <c r="C909" s="537" t="str">
        <f t="shared" si="29"/>
        <v>..</v>
      </c>
      <c r="D909" s="537"/>
      <c r="E909" s="537"/>
      <c r="F909" s="537"/>
      <c r="G909" s="537"/>
      <c r="H909" s="537"/>
      <c r="I909" s="537"/>
      <c r="J909" s="537"/>
      <c r="K909" s="537"/>
      <c r="L909" s="537"/>
      <c r="M909" s="537"/>
      <c r="N909" s="537"/>
      <c r="O909" s="537"/>
      <c r="P909" s="537"/>
      <c r="Q909" s="537"/>
      <c r="R909" s="537"/>
      <c r="S909" s="537"/>
      <c r="T909" s="537"/>
      <c r="U909" s="537"/>
    </row>
    <row r="910" spans="1:21" hidden="1" x14ac:dyDescent="0.2">
      <c r="A910" s="537" t="str">
        <f t="shared" si="28"/>
        <v>BLANK...</v>
      </c>
      <c r="B910" s="537" t="s">
        <v>193</v>
      </c>
      <c r="C910" s="537" t="str">
        <f t="shared" si="29"/>
        <v>..</v>
      </c>
      <c r="D910" s="537"/>
      <c r="E910" s="537"/>
      <c r="F910" s="537"/>
      <c r="G910" s="537"/>
      <c r="H910" s="537"/>
      <c r="I910" s="537"/>
      <c r="J910" s="537"/>
      <c r="K910" s="537"/>
      <c r="L910" s="537"/>
      <c r="M910" s="537"/>
      <c r="N910" s="537"/>
      <c r="O910" s="537"/>
      <c r="P910" s="537"/>
      <c r="Q910" s="537"/>
      <c r="R910" s="537"/>
      <c r="S910" s="537"/>
      <c r="T910" s="537"/>
      <c r="U910" s="537"/>
    </row>
    <row r="911" spans="1:21" hidden="1" x14ac:dyDescent="0.2">
      <c r="A911" s="537" t="str">
        <f t="shared" si="28"/>
        <v>BLANK...</v>
      </c>
      <c r="B911" s="537" t="s">
        <v>193</v>
      </c>
      <c r="C911" s="537" t="str">
        <f t="shared" si="29"/>
        <v>..</v>
      </c>
      <c r="D911" s="537"/>
      <c r="E911" s="537"/>
      <c r="F911" s="537"/>
      <c r="G911" s="537"/>
      <c r="H911" s="537"/>
      <c r="I911" s="537"/>
      <c r="J911" s="537"/>
      <c r="K911" s="537"/>
      <c r="L911" s="537"/>
      <c r="M911" s="537"/>
      <c r="N911" s="537"/>
      <c r="O911" s="537"/>
      <c r="P911" s="537"/>
      <c r="Q911" s="537"/>
      <c r="R911" s="537"/>
      <c r="S911" s="537"/>
      <c r="T911" s="537"/>
      <c r="U911" s="537"/>
    </row>
    <row r="912" spans="1:21" hidden="1" x14ac:dyDescent="0.2">
      <c r="A912" s="537" t="str">
        <f t="shared" si="28"/>
        <v>BLANK...</v>
      </c>
      <c r="B912" s="537" t="s">
        <v>193</v>
      </c>
      <c r="C912" s="537" t="str">
        <f t="shared" si="29"/>
        <v>..</v>
      </c>
      <c r="D912" s="537"/>
      <c r="E912" s="537"/>
      <c r="F912" s="537"/>
      <c r="G912" s="537"/>
      <c r="H912" s="537"/>
      <c r="I912" s="537"/>
      <c r="J912" s="537"/>
      <c r="K912" s="537"/>
      <c r="L912" s="537"/>
      <c r="M912" s="537"/>
      <c r="N912" s="537"/>
      <c r="O912" s="537"/>
      <c r="P912" s="537"/>
      <c r="Q912" s="537"/>
      <c r="R912" s="537"/>
      <c r="S912" s="537"/>
      <c r="T912" s="537"/>
      <c r="U912" s="537"/>
    </row>
    <row r="913" spans="1:21" hidden="1" x14ac:dyDescent="0.2">
      <c r="A913" s="537" t="str">
        <f t="shared" si="28"/>
        <v>BLANK...</v>
      </c>
      <c r="B913" s="537" t="s">
        <v>193</v>
      </c>
      <c r="C913" s="537" t="str">
        <f t="shared" si="29"/>
        <v>..</v>
      </c>
      <c r="D913" s="537"/>
      <c r="E913" s="537"/>
      <c r="F913" s="537"/>
      <c r="G913" s="537"/>
      <c r="H913" s="537"/>
      <c r="I913" s="537"/>
      <c r="J913" s="537"/>
      <c r="K913" s="537"/>
      <c r="L913" s="537"/>
      <c r="M913" s="537"/>
      <c r="N913" s="537"/>
      <c r="O913" s="537"/>
      <c r="P913" s="537"/>
      <c r="Q913" s="537"/>
      <c r="R913" s="537"/>
      <c r="S913" s="537"/>
      <c r="T913" s="537"/>
      <c r="U913" s="537"/>
    </row>
    <row r="914" spans="1:21" hidden="1" x14ac:dyDescent="0.2">
      <c r="A914" s="537" t="str">
        <f t="shared" ref="A914:A920" si="30">B914&amp;"."&amp;D914&amp;"."&amp;E914&amp;"."&amp;F914</f>
        <v>BLANK...</v>
      </c>
      <c r="B914" s="537" t="s">
        <v>193</v>
      </c>
      <c r="C914" s="537" t="str">
        <f t="shared" ref="C914:C920" si="31">D914&amp;"."&amp;E914&amp;"."&amp;F914</f>
        <v>..</v>
      </c>
      <c r="D914" s="537"/>
      <c r="E914" s="537"/>
      <c r="F914" s="537"/>
      <c r="G914" s="537"/>
      <c r="H914" s="537"/>
      <c r="I914" s="537"/>
      <c r="J914" s="537"/>
      <c r="K914" s="537"/>
      <c r="L914" s="537"/>
      <c r="M914" s="537"/>
      <c r="N914" s="537"/>
      <c r="O914" s="537"/>
      <c r="P914" s="537"/>
      <c r="Q914" s="537"/>
      <c r="R914" s="537"/>
      <c r="S914" s="537"/>
      <c r="T914" s="537"/>
      <c r="U914" s="537"/>
    </row>
    <row r="915" spans="1:21" hidden="1" x14ac:dyDescent="0.2">
      <c r="A915" s="537" t="str">
        <f t="shared" si="30"/>
        <v>BLANK...</v>
      </c>
      <c r="B915" s="537" t="s">
        <v>193</v>
      </c>
      <c r="C915" s="537" t="str">
        <f t="shared" si="31"/>
        <v>..</v>
      </c>
      <c r="D915" s="537"/>
      <c r="E915" s="537"/>
      <c r="F915" s="537"/>
      <c r="G915" s="537"/>
      <c r="H915" s="537"/>
      <c r="I915" s="537"/>
      <c r="J915" s="537"/>
      <c r="K915" s="537"/>
      <c r="L915" s="537"/>
      <c r="M915" s="537"/>
      <c r="N915" s="537"/>
      <c r="O915" s="537"/>
      <c r="P915" s="537"/>
      <c r="Q915" s="537"/>
      <c r="R915" s="537"/>
      <c r="S915" s="537"/>
      <c r="T915" s="537"/>
      <c r="U915" s="537"/>
    </row>
    <row r="916" spans="1:21" hidden="1" x14ac:dyDescent="0.2">
      <c r="A916" s="537" t="str">
        <f t="shared" si="30"/>
        <v>BLANK...</v>
      </c>
      <c r="B916" s="537" t="s">
        <v>193</v>
      </c>
      <c r="C916" s="537" t="str">
        <f t="shared" si="31"/>
        <v>..</v>
      </c>
      <c r="D916" s="537"/>
      <c r="E916" s="537"/>
      <c r="F916" s="537"/>
      <c r="G916" s="537"/>
      <c r="H916" s="537"/>
      <c r="I916" s="537"/>
      <c r="J916" s="537"/>
      <c r="K916" s="537"/>
      <c r="L916" s="537"/>
      <c r="M916" s="537"/>
      <c r="N916" s="537"/>
      <c r="O916" s="537"/>
      <c r="P916" s="537"/>
      <c r="Q916" s="537"/>
      <c r="R916" s="537"/>
      <c r="S916" s="537"/>
      <c r="T916" s="537"/>
      <c r="U916" s="537"/>
    </row>
    <row r="917" spans="1:21" hidden="1" x14ac:dyDescent="0.2">
      <c r="A917" s="537" t="str">
        <f t="shared" si="30"/>
        <v>BLANK...</v>
      </c>
      <c r="B917" s="537" t="s">
        <v>193</v>
      </c>
      <c r="C917" s="537" t="str">
        <f t="shared" si="31"/>
        <v>..</v>
      </c>
      <c r="D917" s="537"/>
      <c r="E917" s="537"/>
      <c r="F917" s="537"/>
      <c r="G917" s="537"/>
      <c r="H917" s="537"/>
      <c r="I917" s="537"/>
      <c r="J917" s="537"/>
      <c r="K917" s="537"/>
      <c r="L917" s="537"/>
      <c r="M917" s="537"/>
      <c r="N917" s="537"/>
      <c r="O917" s="537"/>
      <c r="P917" s="537"/>
      <c r="Q917" s="537"/>
      <c r="R917" s="537"/>
      <c r="S917" s="537"/>
      <c r="T917" s="537"/>
      <c r="U917" s="537"/>
    </row>
    <row r="918" spans="1:21" hidden="1" x14ac:dyDescent="0.2">
      <c r="A918" s="537" t="str">
        <f t="shared" si="30"/>
        <v>BLANK...</v>
      </c>
      <c r="B918" s="537" t="s">
        <v>193</v>
      </c>
      <c r="C918" s="537" t="str">
        <f t="shared" si="31"/>
        <v>..</v>
      </c>
      <c r="D918" s="537"/>
      <c r="E918" s="537"/>
      <c r="F918" s="537"/>
      <c r="G918" s="537"/>
      <c r="H918" s="537"/>
      <c r="I918" s="537"/>
      <c r="J918" s="537"/>
      <c r="K918" s="537"/>
      <c r="L918" s="537"/>
      <c r="M918" s="537"/>
      <c r="N918" s="537"/>
      <c r="O918" s="537"/>
      <c r="P918" s="537"/>
      <c r="Q918" s="537"/>
      <c r="R918" s="537"/>
      <c r="S918" s="537"/>
      <c r="T918" s="537"/>
      <c r="U918" s="537"/>
    </row>
    <row r="919" spans="1:21" hidden="1" x14ac:dyDescent="0.2">
      <c r="A919" s="537" t="str">
        <f t="shared" si="30"/>
        <v>BLANK...</v>
      </c>
      <c r="B919" s="537" t="s">
        <v>193</v>
      </c>
      <c r="C919" s="537" t="str">
        <f t="shared" si="31"/>
        <v>..</v>
      </c>
      <c r="D919" s="537"/>
      <c r="E919" s="537"/>
      <c r="F919" s="537"/>
      <c r="G919" s="537"/>
      <c r="H919" s="537"/>
      <c r="I919" s="537"/>
      <c r="J919" s="537"/>
      <c r="K919" s="537"/>
      <c r="L919" s="537"/>
      <c r="M919" s="537"/>
      <c r="N919" s="537"/>
      <c r="O919" s="537"/>
      <c r="P919" s="537"/>
      <c r="Q919" s="537"/>
      <c r="R919" s="537"/>
      <c r="S919" s="537"/>
      <c r="T919" s="537"/>
      <c r="U919" s="537"/>
    </row>
    <row r="920" spans="1:21" hidden="1" x14ac:dyDescent="0.2">
      <c r="A920" s="537" t="str">
        <f t="shared" si="30"/>
        <v>BLANK...</v>
      </c>
      <c r="B920" s="537" t="s">
        <v>193</v>
      </c>
      <c r="C920" s="537" t="str">
        <f t="shared" si="31"/>
        <v>..</v>
      </c>
      <c r="D920" s="537"/>
      <c r="E920" s="537"/>
      <c r="F920" s="537"/>
      <c r="G920" s="537"/>
      <c r="H920" s="537"/>
      <c r="I920" s="537"/>
      <c r="J920" s="537"/>
      <c r="K920" s="537"/>
      <c r="L920" s="537"/>
      <c r="M920" s="537"/>
      <c r="N920" s="537"/>
      <c r="O920" s="537"/>
      <c r="P920" s="537"/>
      <c r="Q920" s="537"/>
      <c r="R920" s="537"/>
      <c r="S920" s="537"/>
      <c r="T920" s="537"/>
      <c r="U920" s="537"/>
    </row>
  </sheetData>
  <sheetProtection algorithmName="SHA-512" hashValue="PSQtizhlSzlDAtXpq/hjddxDM9tTrRpl8M1WXiEoIV/O+h09VB5HpNFwlW7lD5RUzJumuRaBbsjlHu6L8lApmg==" saltValue="e3Utah2eAuuE8Tnh+ie43g==" spinCount="100000" sheet="1" objects="1" scenarios="1" autoFilter="0"/>
  <autoFilter ref="D8:U920">
    <filterColumn colId="0">
      <customFilters>
        <customFilter val="*"/>
      </customFilters>
    </filterColumn>
  </autoFilter>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1">
    <tabColor rgb="FFFF0000"/>
  </sheetPr>
  <dimension ref="A1:P49"/>
  <sheetViews>
    <sheetView showGridLines="0" showRowColHeaders="0" showZeros="0" zoomScale="87" zoomScaleNormal="87" workbookViewId="0">
      <selection activeCell="D15" sqref="D15"/>
    </sheetView>
  </sheetViews>
  <sheetFormatPr defaultColWidth="18.7109375" defaultRowHeight="12.95" customHeight="1" x14ac:dyDescent="0.2"/>
  <cols>
    <col min="1" max="1" width="8.85546875" style="2" customWidth="1"/>
    <col min="2" max="2" width="2.85546875" style="2" customWidth="1"/>
    <col min="3" max="3" width="14.42578125" style="2" customWidth="1"/>
    <col min="4" max="4" width="21.140625" style="2" customWidth="1"/>
    <col min="5" max="7" width="12.140625" style="2" customWidth="1"/>
    <col min="8" max="8" width="3.28515625" style="2" customWidth="1"/>
    <col min="9" max="9" width="31.28515625" style="2" customWidth="1"/>
    <col min="10" max="10" width="24.42578125" style="2" customWidth="1"/>
    <col min="11" max="11" width="14.42578125" style="2" customWidth="1"/>
    <col min="12" max="14" width="8.85546875" style="2" customWidth="1"/>
    <col min="15" max="15" width="23.42578125" style="2" customWidth="1"/>
    <col min="16" max="16" width="21.28515625" style="2" customWidth="1"/>
    <col min="17" max="16384" width="18.7109375" style="2"/>
  </cols>
  <sheetData>
    <row r="1" spans="1:16" ht="12.75" x14ac:dyDescent="0.2">
      <c r="A1" s="11" t="str">
        <f ca="1">MID(CELL("filename",A1),FIND("]",CELL("filename",A1))+1,255)</f>
        <v>GTS_SHEET</v>
      </c>
    </row>
    <row r="2" spans="1:16" ht="15.75" x14ac:dyDescent="0.25">
      <c r="C2" s="728" t="s">
        <v>82</v>
      </c>
      <c r="D2" s="729"/>
      <c r="E2" s="729"/>
      <c r="F2" s="729"/>
      <c r="G2" s="729"/>
      <c r="I2" s="732" t="s">
        <v>13</v>
      </c>
      <c r="J2" s="732"/>
      <c r="K2" s="732"/>
      <c r="L2" s="732"/>
      <c r="M2" s="732"/>
      <c r="N2" s="732"/>
      <c r="O2" s="732"/>
      <c r="P2" s="732"/>
    </row>
    <row r="3" spans="1:16" ht="12.75" x14ac:dyDescent="0.2">
      <c r="C3" s="3" t="s">
        <v>1</v>
      </c>
      <c r="D3" s="21" t="s">
        <v>0</v>
      </c>
      <c r="E3" s="4"/>
      <c r="F3" s="4"/>
      <c r="G3" s="4"/>
      <c r="I3" s="3" t="s">
        <v>9</v>
      </c>
      <c r="J3" s="1" t="str">
        <f>UPPER(REP.product&amp;" "&amp;REP.reporttype&amp;" for "&amp;MIN(REP.yearsrange)&amp;"-"&amp;MAX(REP.yearsrange))</f>
        <v>STEAM FINAL TREND REPORT FOR 2009-2013</v>
      </c>
      <c r="K3" s="1"/>
      <c r="L3" s="1"/>
      <c r="M3" s="1"/>
      <c r="N3" s="1"/>
      <c r="O3" s="1"/>
      <c r="P3" s="1"/>
    </row>
    <row r="4" spans="1:16" ht="12.75" x14ac:dyDescent="0.2">
      <c r="C4" s="3" t="s">
        <v>2</v>
      </c>
      <c r="D4" s="21" t="s">
        <v>3</v>
      </c>
      <c r="E4" s="4"/>
      <c r="F4" s="4"/>
      <c r="G4" s="4"/>
      <c r="I4" s="3" t="s">
        <v>10</v>
      </c>
      <c r="J4" s="1" t="str">
        <f>UPPER(IF(ISBLANK(REP.authority),REP.subzone,IF(ISBLANK(REP.subzone),REP.authority,REP.authority&amp;" - "&amp;REP.subzone)))</f>
        <v>MORAY HIE</v>
      </c>
      <c r="K4" s="1"/>
      <c r="L4" s="1"/>
      <c r="M4" s="1"/>
      <c r="N4" s="1"/>
      <c r="O4" s="1"/>
      <c r="P4" s="1"/>
    </row>
    <row r="5" spans="1:16" ht="12.75" x14ac:dyDescent="0.2">
      <c r="C5" s="3" t="s">
        <v>4</v>
      </c>
      <c r="D5" s="21" t="str">
        <f>REP.status&amp;" Trend Report"</f>
        <v>Final Trend Report</v>
      </c>
      <c r="E5" s="4"/>
      <c r="F5" s="4"/>
      <c r="G5" s="4"/>
      <c r="I5" s="3" t="s">
        <v>11</v>
      </c>
      <c r="J5" s="1" t="str">
        <f>"This report is copyright © "&amp;REP.gts&amp;" "&amp;YEAR(REP.issued)</f>
        <v>This report is copyright © Global Tourism Solutions (UK) Ltd 2014</v>
      </c>
      <c r="K5" s="1"/>
      <c r="L5" s="1"/>
      <c r="M5" s="1"/>
      <c r="N5" s="1"/>
      <c r="O5" s="1"/>
      <c r="P5" s="1"/>
    </row>
    <row r="6" spans="1:16" ht="12.75" x14ac:dyDescent="0.2">
      <c r="C6" s="3" t="s">
        <v>5</v>
      </c>
      <c r="D6" s="723" t="s">
        <v>178</v>
      </c>
      <c r="E6" s="713"/>
      <c r="F6" s="713"/>
      <c r="G6" s="713"/>
      <c r="I6" s="3" t="s">
        <v>12</v>
      </c>
      <c r="J6" s="1" t="str">
        <f>"Report Prepared by: "&amp;REP.user&amp;". Date of Issue: "&amp;TEXT(REP.issued,"DD/MM/YY")</f>
        <v>Report Prepared by: Alison Tipler. Date of Issue: 11/04/14</v>
      </c>
      <c r="K6" s="1"/>
      <c r="L6" s="1"/>
      <c r="M6" s="1"/>
      <c r="N6" s="1"/>
      <c r="O6" s="1"/>
      <c r="P6" s="1"/>
    </row>
    <row r="7" spans="1:16" ht="12.75" x14ac:dyDescent="0.2">
      <c r="C7" s="3" t="s">
        <v>6</v>
      </c>
      <c r="D7" s="723"/>
      <c r="E7" s="713"/>
      <c r="F7" s="713"/>
      <c r="G7" s="713"/>
    </row>
    <row r="8" spans="1:16" ht="12.75" x14ac:dyDescent="0.2">
      <c r="C8" s="3" t="s">
        <v>7</v>
      </c>
      <c r="D8" s="715" t="s">
        <v>179</v>
      </c>
      <c r="E8" s="713"/>
      <c r="F8" s="713"/>
      <c r="G8" s="713"/>
      <c r="I8" s="3" t="s">
        <v>41</v>
      </c>
      <c r="J8" s="39">
        <f>INDEX(rep.percenthighlightchoices,rep.percenthighlightno)</f>
        <v>0.03</v>
      </c>
      <c r="K8" s="24">
        <v>1</v>
      </c>
      <c r="L8" s="63">
        <v>0.03</v>
      </c>
    </row>
    <row r="9" spans="1:16" ht="12.75" x14ac:dyDescent="0.2">
      <c r="C9" s="3" t="s">
        <v>8</v>
      </c>
      <c r="D9" s="714">
        <v>41740</v>
      </c>
      <c r="E9" s="713"/>
      <c r="F9" s="713"/>
      <c r="G9" s="713"/>
      <c r="I9" s="3" t="s">
        <v>109</v>
      </c>
      <c r="J9" s="8" t="str">
        <f>"A Fall of "&amp;TEXT(REP.percenthighlight,"0%")&amp;" or more"</f>
        <v>A Fall of 3% or more</v>
      </c>
      <c r="L9" s="63">
        <v>0.05</v>
      </c>
    </row>
    <row r="10" spans="1:16" ht="12.75" x14ac:dyDescent="0.2">
      <c r="C10" s="3" t="s">
        <v>67</v>
      </c>
      <c r="D10" s="715" t="s">
        <v>70</v>
      </c>
      <c r="E10" s="713"/>
      <c r="F10" s="713"/>
      <c r="G10" s="713"/>
      <c r="I10" s="3" t="s">
        <v>110</v>
      </c>
      <c r="J10" s="8" t="str">
        <f>"An increase of "&amp;TEXT(REP.percenthighlight,"0%")&amp;" or more"</f>
        <v>An increase of 3% or more</v>
      </c>
      <c r="L10" s="63">
        <v>0.1</v>
      </c>
    </row>
    <row r="11" spans="1:16" ht="12.75" x14ac:dyDescent="0.2">
      <c r="C11" s="3" t="s">
        <v>69</v>
      </c>
      <c r="D11" s="718" t="s">
        <v>68</v>
      </c>
      <c r="E11" s="1"/>
      <c r="F11" s="1"/>
      <c r="G11" s="1"/>
      <c r="I11" s="3" t="s">
        <v>111</v>
      </c>
      <c r="J11" s="8" t="str">
        <f>"Less than "&amp;TEXT(REP.percenthighlight,"0%")&amp;" change"</f>
        <v>Less than 3% change</v>
      </c>
      <c r="L11" s="63">
        <v>0.15</v>
      </c>
    </row>
    <row r="12" spans="1:16" ht="12.75" x14ac:dyDescent="0.2">
      <c r="C12" s="3"/>
      <c r="D12" s="718" t="s">
        <v>70</v>
      </c>
      <c r="E12" s="1"/>
      <c r="F12" s="1"/>
      <c r="G12" s="1"/>
    </row>
    <row r="13" spans="1:16" ht="12.75" x14ac:dyDescent="0.2">
      <c r="C13" s="3"/>
      <c r="D13" s="718" t="s">
        <v>173</v>
      </c>
      <c r="E13" s="1"/>
      <c r="F13" s="1"/>
      <c r="G13" s="1"/>
      <c r="J13" s="40"/>
    </row>
    <row r="14" spans="1:16" ht="12.75" x14ac:dyDescent="0.2">
      <c r="C14" s="3" t="s">
        <v>105</v>
      </c>
      <c r="D14" s="715" t="s">
        <v>180</v>
      </c>
      <c r="E14" s="713"/>
      <c r="F14" s="713"/>
      <c r="G14" s="713"/>
    </row>
    <row r="15" spans="1:16" ht="12.75" x14ac:dyDescent="0.2">
      <c r="C15" s="3" t="s">
        <v>106</v>
      </c>
      <c r="D15" s="718" t="str">
        <f>IF(REP.indexed="NO","UNINDEXED","INDEXED")</f>
        <v>UNINDEXED</v>
      </c>
      <c r="E15" s="1"/>
      <c r="F15" s="1"/>
      <c r="G15" s="1"/>
    </row>
    <row r="16" spans="1:16" ht="12.75" x14ac:dyDescent="0.2"/>
    <row r="17" spans="2:15" ht="15.75" x14ac:dyDescent="0.25">
      <c r="C17" s="26" t="s">
        <v>83</v>
      </c>
      <c r="D17" s="17" t="str">
        <f ca="1">"'"&amp;$A$1&amp;"'!"&amp;CELL("address",$D$19)&amp;":"&amp;CELL("address",OFFSET($D$19,COUNT(REP.yearsrange)-1,0))</f>
        <v>'GTS_SHEET'!$D$19:$D$23</v>
      </c>
      <c r="E17" s="14"/>
      <c r="F17" s="14"/>
      <c r="I17" s="17" t="s">
        <v>121</v>
      </c>
      <c r="J17" s="17" t="str">
        <f ca="1">"'"&amp;$A$1&amp;"'!"&amp;CELL("address",$J$20)&amp;":"&amp;CELL("address",OFFSET($J$20,COUNT(REP.yearsrange)-2,0))</f>
        <v>'GTS_SHEET'!$J$20:$J$23</v>
      </c>
      <c r="K17" s="17" t="str">
        <f ca="1">"'"&amp;$A$1&amp;"'!"&amp;CELL("address",$D$19)&amp;":"&amp;CELL("address",OFFSET($D$19,FOCUSYEAR.no-1,0))</f>
        <v>'GTS_SHEET'!$D$19:$D$23</v>
      </c>
      <c r="L17" s="17"/>
      <c r="M17" s="17"/>
    </row>
    <row r="18" spans="2:15" ht="36" customHeight="1" x14ac:dyDescent="0.2">
      <c r="B18" s="20" t="s">
        <v>65</v>
      </c>
      <c r="C18" s="712" t="s">
        <v>14</v>
      </c>
      <c r="D18" s="12" t="s">
        <v>17</v>
      </c>
      <c r="E18" s="13" t="s">
        <v>15</v>
      </c>
      <c r="F18" s="13" t="str">
        <f>"Indexation to Focus Year "&amp;"("&amp;FOCUSYEAR&amp;")"</f>
        <v>Indexation to Focus Year (2013)</v>
      </c>
      <c r="G18" s="13" t="str">
        <f>"Indexation to "&amp;MAX(REP.yearsrange)</f>
        <v>Indexation to 2013</v>
      </c>
      <c r="I18" s="13" t="s">
        <v>71</v>
      </c>
      <c r="J18" s="27" t="s">
        <v>72</v>
      </c>
      <c r="K18" s="731" t="s">
        <v>64</v>
      </c>
      <c r="L18" s="731"/>
      <c r="M18" s="731"/>
    </row>
    <row r="19" spans="2:15" ht="12.75" x14ac:dyDescent="0.2">
      <c r="B19" s="10">
        <v>12</v>
      </c>
      <c r="C19" s="5">
        <v>1</v>
      </c>
      <c r="D19" s="716">
        <v>2009</v>
      </c>
      <c r="E19" s="6"/>
      <c r="F19" s="7">
        <f t="array" ref="F19:F30">IFERROR(IF(REP.indexed="NO",1,INDEX(REP.indexationtable,MATCH(REP.yearsrange,'RPI13'!$A$1:$A$25,0),MATCH(FOCUSYEAR,'RPI13'!$A$1:$Y$1,0))),"")</f>
        <v>1</v>
      </c>
      <c r="G19" s="7">
        <f t="array" ref="G19:G30">IFERROR(IF(REP.indexed="NO",1,INDEX(REP.indexationtable,MATCH(REP.yearsrange,'RPI13'!$A$1:$A$25,0),MATCH(MAX(REP.yearsrange),'RPI13'!$A$1:$Y$1,0))),"")</f>
        <v>1</v>
      </c>
      <c r="I19" s="28" t="s">
        <v>75</v>
      </c>
      <c r="J19" s="29" t="str">
        <f>MIN(REP.yearsrange)&amp;" - "&amp;MAX(REP.yearsrange)-1</f>
        <v>2009 - 2012</v>
      </c>
      <c r="K19" s="18" t="str">
        <f>IF(J19="#N/A","",I19&amp;" "&amp;J19)</f>
        <v>the Average for 2009 - 2012</v>
      </c>
      <c r="L19" s="18"/>
      <c r="M19" s="18"/>
      <c r="O19" s="9" t="s">
        <v>86</v>
      </c>
    </row>
    <row r="20" spans="2:15" ht="12.75" x14ac:dyDescent="0.2">
      <c r="B20" s="10">
        <f>B19-1</f>
        <v>11</v>
      </c>
      <c r="C20" s="5">
        <v>2</v>
      </c>
      <c r="D20" s="716">
        <v>2010</v>
      </c>
      <c r="E20" s="6"/>
      <c r="F20" s="7">
        <v>1</v>
      </c>
      <c r="G20" s="7">
        <v>1</v>
      </c>
      <c r="I20" s="28"/>
      <c r="J20" s="29">
        <f t="array" ref="J20:J32">IF(OR(ISERROR(INDEX(REP.yearsrange,REP.yearnos)),ISBLANK(INDEX(REP.yearsrange,REP.yearnos)),INDEX(REP.yearsrange,REP.yearnos)=MAX(REP.yearsrange)),"",INDEX(REP.yearsrange,REP.yearnos))</f>
        <v>2009</v>
      </c>
      <c r="K20" s="18">
        <f>IF(ISNA(J20),"",J20)</f>
        <v>2009</v>
      </c>
      <c r="L20" s="18"/>
      <c r="M20" s="18"/>
      <c r="O20" s="9" t="s">
        <v>87</v>
      </c>
    </row>
    <row r="21" spans="2:15" ht="12.75" x14ac:dyDescent="0.2">
      <c r="B21" s="10">
        <f t="shared" ref="B21:B30" si="0">B20-1</f>
        <v>10</v>
      </c>
      <c r="C21" s="5">
        <v>3</v>
      </c>
      <c r="D21" s="716">
        <v>2011</v>
      </c>
      <c r="E21" s="6"/>
      <c r="F21" s="7">
        <v>1</v>
      </c>
      <c r="G21" s="7">
        <v>1</v>
      </c>
      <c r="I21" s="28"/>
      <c r="J21" s="29">
        <v>2010</v>
      </c>
      <c r="K21" s="18">
        <f t="shared" ref="K21:K32" si="1">IF(ISNA(J21),"",J21)</f>
        <v>2010</v>
      </c>
      <c r="L21" s="18"/>
      <c r="M21" s="18"/>
      <c r="O21" s="9" t="s">
        <v>88</v>
      </c>
    </row>
    <row r="22" spans="2:15" ht="12.75" x14ac:dyDescent="0.2">
      <c r="B22" s="10">
        <f t="shared" si="0"/>
        <v>9</v>
      </c>
      <c r="C22" s="5">
        <v>4</v>
      </c>
      <c r="D22" s="716">
        <v>2012</v>
      </c>
      <c r="E22" s="6"/>
      <c r="F22" s="7">
        <v>1</v>
      </c>
      <c r="G22" s="7">
        <v>1</v>
      </c>
      <c r="I22" s="28" t="str">
        <f t="array" ref="I22:I31">IF(OR(ISERROR(INDEX(REP.yearsrange,REP.yearnos)),ISBLANK(INDEX(REP.yearsrange,REP.yearnos)),INDEX(REP.yearsrange,REP.yearnos)=MAX(REP.yearsrange)),"","")</f>
        <v/>
      </c>
      <c r="J22" s="30">
        <v>2011</v>
      </c>
      <c r="K22" s="18">
        <f t="shared" si="1"/>
        <v>2011</v>
      </c>
      <c r="L22" s="18"/>
      <c r="M22" s="18"/>
      <c r="N22" s="19"/>
      <c r="O22" s="36" t="s">
        <v>89</v>
      </c>
    </row>
    <row r="23" spans="2:15" ht="12.75" x14ac:dyDescent="0.2">
      <c r="B23" s="10">
        <f t="shared" si="0"/>
        <v>8</v>
      </c>
      <c r="C23" s="5">
        <v>5</v>
      </c>
      <c r="D23" s="716">
        <v>2013</v>
      </c>
      <c r="E23" s="6"/>
      <c r="F23" s="7">
        <v>1</v>
      </c>
      <c r="G23" s="7">
        <v>1</v>
      </c>
      <c r="I23" s="28" t="str">
        <v/>
      </c>
      <c r="J23" s="30">
        <v>2012</v>
      </c>
      <c r="K23" s="18">
        <f t="shared" si="1"/>
        <v>2012</v>
      </c>
      <c r="L23" s="18"/>
      <c r="M23" s="18"/>
      <c r="N23" s="19"/>
      <c r="O23" s="37" t="s">
        <v>90</v>
      </c>
    </row>
    <row r="24" spans="2:15" ht="12.75" x14ac:dyDescent="0.2">
      <c r="B24" s="10">
        <f t="shared" si="0"/>
        <v>7</v>
      </c>
      <c r="C24" s="5">
        <v>6</v>
      </c>
      <c r="D24" s="716"/>
      <c r="E24" s="6"/>
      <c r="F24" s="7">
        <v>1</v>
      </c>
      <c r="G24" s="7">
        <v>1</v>
      </c>
      <c r="I24" s="28" t="str">
        <v/>
      </c>
      <c r="J24" s="31" t="str">
        <v/>
      </c>
      <c r="K24" s="18" t="str">
        <f t="shared" si="1"/>
        <v/>
      </c>
      <c r="L24" s="18"/>
      <c r="M24" s="18"/>
      <c r="N24" s="19"/>
      <c r="O24" s="19"/>
    </row>
    <row r="25" spans="2:15" ht="12.75" x14ac:dyDescent="0.2">
      <c r="B25" s="10">
        <f t="shared" si="0"/>
        <v>6</v>
      </c>
      <c r="C25" s="5">
        <v>7</v>
      </c>
      <c r="D25" s="716"/>
      <c r="E25" s="6"/>
      <c r="F25" s="7">
        <v>1</v>
      </c>
      <c r="G25" s="7">
        <v>1</v>
      </c>
      <c r="I25" s="28" t="str">
        <v/>
      </c>
      <c r="J25" s="31" t="str">
        <v/>
      </c>
      <c r="K25" s="18" t="str">
        <f t="shared" si="1"/>
        <v/>
      </c>
      <c r="L25" s="18"/>
      <c r="M25" s="18"/>
      <c r="N25" s="19"/>
      <c r="O25" s="19"/>
    </row>
    <row r="26" spans="2:15" ht="12.75" x14ac:dyDescent="0.2">
      <c r="B26" s="10">
        <f t="shared" si="0"/>
        <v>5</v>
      </c>
      <c r="C26" s="5">
        <v>8</v>
      </c>
      <c r="D26" s="716"/>
      <c r="E26" s="6"/>
      <c r="F26" s="7">
        <v>1</v>
      </c>
      <c r="G26" s="7">
        <v>1</v>
      </c>
      <c r="I26" s="28" t="str">
        <v/>
      </c>
      <c r="J26" s="31" t="str">
        <v/>
      </c>
      <c r="K26" s="18" t="str">
        <f t="shared" si="1"/>
        <v/>
      </c>
      <c r="L26" s="18"/>
      <c r="M26" s="18"/>
      <c r="N26" s="19"/>
      <c r="O26" s="19"/>
    </row>
    <row r="27" spans="2:15" ht="12.75" x14ac:dyDescent="0.2">
      <c r="B27" s="10">
        <f t="shared" si="0"/>
        <v>4</v>
      </c>
      <c r="C27" s="5">
        <v>9</v>
      </c>
      <c r="D27" s="716"/>
      <c r="E27" s="6"/>
      <c r="F27" s="7">
        <v>1</v>
      </c>
      <c r="G27" s="7">
        <v>1</v>
      </c>
      <c r="I27" s="28" t="str">
        <v/>
      </c>
      <c r="J27" s="31" t="str">
        <v/>
      </c>
      <c r="K27" s="18" t="str">
        <f t="shared" si="1"/>
        <v/>
      </c>
      <c r="L27" s="18"/>
      <c r="M27" s="18"/>
      <c r="N27" s="19"/>
      <c r="O27" s="19"/>
    </row>
    <row r="28" spans="2:15" ht="12.75" x14ac:dyDescent="0.2">
      <c r="B28" s="10">
        <f t="shared" si="0"/>
        <v>3</v>
      </c>
      <c r="C28" s="5">
        <v>10</v>
      </c>
      <c r="D28" s="716"/>
      <c r="E28" s="6"/>
      <c r="F28" s="7">
        <v>1</v>
      </c>
      <c r="G28" s="7">
        <v>1</v>
      </c>
      <c r="I28" s="28" t="str">
        <v/>
      </c>
      <c r="J28" s="29" t="str">
        <v/>
      </c>
      <c r="K28" s="18" t="str">
        <f t="shared" si="1"/>
        <v/>
      </c>
      <c r="L28" s="18"/>
      <c r="M28" s="18"/>
      <c r="N28" s="19"/>
      <c r="O28" s="19"/>
    </row>
    <row r="29" spans="2:15" ht="12.75" x14ac:dyDescent="0.2">
      <c r="B29" s="10">
        <f t="shared" si="0"/>
        <v>2</v>
      </c>
      <c r="C29" s="5">
        <v>11</v>
      </c>
      <c r="D29" s="716"/>
      <c r="E29" s="6"/>
      <c r="F29" s="7">
        <v>1</v>
      </c>
      <c r="G29" s="7">
        <v>1</v>
      </c>
      <c r="I29" s="28" t="str">
        <v/>
      </c>
      <c r="J29" s="32" t="str">
        <v/>
      </c>
      <c r="K29" s="18" t="str">
        <f t="shared" si="1"/>
        <v/>
      </c>
      <c r="L29" s="18"/>
      <c r="M29" s="18"/>
      <c r="N29" s="19"/>
      <c r="O29" s="19"/>
    </row>
    <row r="30" spans="2:15" ht="12.75" x14ac:dyDescent="0.2">
      <c r="B30" s="10">
        <f t="shared" si="0"/>
        <v>1</v>
      </c>
      <c r="C30" s="5">
        <v>12</v>
      </c>
      <c r="D30" s="716"/>
      <c r="E30" s="6"/>
      <c r="F30" s="7">
        <v>1</v>
      </c>
      <c r="G30" s="7">
        <v>1</v>
      </c>
      <c r="I30" s="28" t="str">
        <v/>
      </c>
      <c r="J30" s="32" t="str">
        <v/>
      </c>
      <c r="K30" s="18" t="str">
        <f t="shared" si="1"/>
        <v/>
      </c>
      <c r="L30" s="18"/>
      <c r="M30" s="18"/>
      <c r="N30" s="19"/>
      <c r="O30" s="19"/>
    </row>
    <row r="31" spans="2:15" ht="12.75" x14ac:dyDescent="0.2">
      <c r="C31" s="733" t="s">
        <v>63</v>
      </c>
      <c r="D31" s="733"/>
      <c r="E31" s="724">
        <v>2</v>
      </c>
      <c r="F31" s="719" t="str">
        <f>INDEX(REP.YN,INDEX.no)</f>
        <v>NO</v>
      </c>
      <c r="G31" s="717">
        <f>COUNT(REP.yearsrange)</f>
        <v>5</v>
      </c>
      <c r="I31" s="28" t="str">
        <v/>
      </c>
      <c r="J31" s="32" t="str">
        <v/>
      </c>
      <c r="K31" s="18" t="str">
        <f t="shared" si="1"/>
        <v/>
      </c>
      <c r="L31" s="18"/>
      <c r="M31" s="18"/>
      <c r="N31" s="19"/>
      <c r="O31" s="19"/>
    </row>
    <row r="32" spans="2:15" ht="13.7" customHeight="1" x14ac:dyDescent="0.2">
      <c r="C32" s="730" t="s">
        <v>85</v>
      </c>
      <c r="D32" s="730"/>
      <c r="E32" s="730"/>
      <c r="F32" s="15" t="s">
        <v>42</v>
      </c>
      <c r="I32" s="28"/>
      <c r="J32" s="32" t="e">
        <v>#N/A</v>
      </c>
      <c r="K32" s="18" t="str">
        <f t="shared" si="1"/>
        <v/>
      </c>
      <c r="L32" s="18"/>
      <c r="M32" s="18"/>
      <c r="N32" s="19"/>
      <c r="O32" s="19"/>
    </row>
    <row r="33" spans="3:14" ht="12.75" x14ac:dyDescent="0.2">
      <c r="C33" s="730"/>
      <c r="D33" s="730"/>
      <c r="E33" s="730"/>
      <c r="F33" s="16" t="s">
        <v>43</v>
      </c>
      <c r="I33" s="55" t="s">
        <v>121</v>
      </c>
      <c r="J33" s="726">
        <v>4</v>
      </c>
      <c r="K33" s="720">
        <f>COMPARISONYEAR</f>
        <v>2012</v>
      </c>
      <c r="L33" s="23"/>
      <c r="M33" s="23"/>
      <c r="N33" s="19"/>
    </row>
    <row r="34" spans="3:14" ht="12.95" customHeight="1" x14ac:dyDescent="0.2">
      <c r="I34" s="55" t="s">
        <v>127</v>
      </c>
      <c r="J34" s="726">
        <v>5</v>
      </c>
      <c r="K34" s="720">
        <f>FOCUSYEAR</f>
        <v>2013</v>
      </c>
      <c r="L34" s="23"/>
      <c r="M34" s="23"/>
    </row>
    <row r="35" spans="3:14" ht="12.95" customHeight="1" x14ac:dyDescent="0.2">
      <c r="I35" s="95" t="s">
        <v>136</v>
      </c>
      <c r="J35" s="727">
        <v>5</v>
      </c>
      <c r="K35" s="721">
        <f>CHARTYEAR</f>
        <v>2013</v>
      </c>
      <c r="L35" s="18"/>
      <c r="M35" s="18"/>
    </row>
    <row r="36" spans="3:14" ht="39" x14ac:dyDescent="0.25">
      <c r="C36" s="26" t="s">
        <v>84</v>
      </c>
      <c r="D36" s="14"/>
      <c r="E36" s="14"/>
      <c r="F36" s="14"/>
      <c r="I36" s="88" t="s">
        <v>79</v>
      </c>
      <c r="J36" s="89"/>
      <c r="K36" s="90" t="s">
        <v>80</v>
      </c>
      <c r="L36" s="91"/>
      <c r="M36" s="91"/>
    </row>
    <row r="37" spans="3:14" ht="12.75" x14ac:dyDescent="0.2">
      <c r="C37" s="1"/>
      <c r="D37" s="1"/>
      <c r="E37" s="1"/>
      <c r="F37" s="1"/>
    </row>
    <row r="38" spans="3:14" ht="12.75" x14ac:dyDescent="0.2">
      <c r="C38" s="1" t="s">
        <v>0</v>
      </c>
      <c r="D38" s="1"/>
      <c r="E38" s="1"/>
      <c r="F38" s="1"/>
    </row>
    <row r="39" spans="3:14" ht="12.75" x14ac:dyDescent="0.2">
      <c r="C39" s="1" t="s">
        <v>100</v>
      </c>
      <c r="D39" s="1"/>
      <c r="E39" s="1"/>
      <c r="F39" s="1"/>
    </row>
    <row r="40" spans="3:14" ht="15.75" x14ac:dyDescent="0.25">
      <c r="C40" s="1" t="s">
        <v>101</v>
      </c>
      <c r="D40" s="1"/>
      <c r="E40" s="1"/>
      <c r="F40" s="1"/>
      <c r="I40" s="35" t="s">
        <v>74</v>
      </c>
      <c r="J40" s="17"/>
    </row>
    <row r="41" spans="3:14" ht="12.75" x14ac:dyDescent="0.2">
      <c r="C41" s="1" t="s">
        <v>102</v>
      </c>
      <c r="D41" s="1"/>
      <c r="E41" s="1"/>
      <c r="F41" s="1"/>
      <c r="I41" s="25" t="s">
        <v>71</v>
      </c>
      <c r="J41" s="13" t="s">
        <v>81</v>
      </c>
      <c r="K41" s="33"/>
      <c r="L41" s="34"/>
      <c r="M41" s="34"/>
    </row>
    <row r="42" spans="3:14" ht="12.75" x14ac:dyDescent="0.2">
      <c r="C42" s="1" t="s">
        <v>103</v>
      </c>
      <c r="D42" s="1"/>
      <c r="E42" s="1"/>
      <c r="F42" s="1"/>
      <c r="I42" s="38" t="s">
        <v>55</v>
      </c>
      <c r="J42" s="1" t="s">
        <v>24</v>
      </c>
      <c r="K42" s="33">
        <v>1</v>
      </c>
      <c r="L42" s="33"/>
      <c r="M42" s="33"/>
    </row>
    <row r="43" spans="3:14" ht="12.75" x14ac:dyDescent="0.2">
      <c r="C43" s="1" t="s">
        <v>104</v>
      </c>
      <c r="D43" s="1"/>
      <c r="E43" s="1"/>
      <c r="F43" s="1"/>
      <c r="I43" s="38" t="s">
        <v>44</v>
      </c>
      <c r="J43" s="1" t="s">
        <v>24</v>
      </c>
      <c r="K43" s="33">
        <v>2</v>
      </c>
      <c r="L43" s="33"/>
      <c r="M43" s="33"/>
    </row>
    <row r="44" spans="3:14" ht="12.75" x14ac:dyDescent="0.2">
      <c r="C44" s="1"/>
      <c r="D44" s="1"/>
      <c r="E44" s="1"/>
      <c r="F44" s="1"/>
      <c r="I44" s="22" t="s">
        <v>49</v>
      </c>
      <c r="J44" s="1" t="s">
        <v>24</v>
      </c>
      <c r="K44" s="33">
        <v>3</v>
      </c>
      <c r="L44" s="33"/>
      <c r="M44" s="33"/>
    </row>
    <row r="45" spans="3:14" ht="12.75" x14ac:dyDescent="0.2">
      <c r="C45" s="1" t="s">
        <v>150</v>
      </c>
      <c r="D45" s="1"/>
      <c r="E45" s="1"/>
      <c r="F45" s="1"/>
      <c r="I45" s="38" t="s">
        <v>19</v>
      </c>
      <c r="J45" s="1"/>
      <c r="K45" s="33">
        <v>4</v>
      </c>
      <c r="L45" s="33"/>
      <c r="M45" s="33"/>
    </row>
    <row r="46" spans="3:14" ht="12.75" x14ac:dyDescent="0.2">
      <c r="C46" s="1" t="s">
        <v>151</v>
      </c>
      <c r="D46" s="1"/>
      <c r="E46" s="1"/>
      <c r="F46" s="1"/>
      <c r="I46" s="38" t="s">
        <v>143</v>
      </c>
      <c r="K46" s="33">
        <v>5</v>
      </c>
      <c r="L46" s="33"/>
      <c r="M46" s="33"/>
    </row>
    <row r="47" spans="3:14" ht="12.75" x14ac:dyDescent="0.2">
      <c r="C47" s="1" t="s">
        <v>66</v>
      </c>
      <c r="D47" s="1"/>
      <c r="E47" s="1"/>
      <c r="F47" s="1"/>
      <c r="I47" s="38" t="s">
        <v>73</v>
      </c>
      <c r="J47" s="1" t="s">
        <v>24</v>
      </c>
      <c r="K47" s="33">
        <v>6</v>
      </c>
      <c r="L47" s="33"/>
      <c r="M47" s="33"/>
    </row>
    <row r="48" spans="3:14" ht="12.75" x14ac:dyDescent="0.2">
      <c r="C48" s="1"/>
      <c r="D48" s="1"/>
      <c r="E48" s="1"/>
      <c r="F48" s="1"/>
      <c r="I48" s="87" t="s">
        <v>78</v>
      </c>
      <c r="J48" s="725">
        <v>1</v>
      </c>
      <c r="K48" s="33"/>
      <c r="L48" s="33"/>
      <c r="M48" s="33"/>
    </row>
    <row r="49" spans="9:10" ht="12.75" x14ac:dyDescent="0.2">
      <c r="I49" s="722" t="str">
        <f>INDEX(TYPE.choices,TYPE.no)</f>
        <v>Total</v>
      </c>
      <c r="J49" s="1" t="str">
        <f>VLOOKUP(TYPE.userselected,$I$42:$J$47,2,FALSE)</f>
        <v>Accommodation</v>
      </c>
    </row>
  </sheetData>
  <sheetProtection algorithmName="SHA-512" hashValue="eKk58UaTurjYD6K6C8xKmvpcaaVJNyX3nXuU7Ty0X35EciwtHnRrkk6Z4MbHgNTFKswQc98RN+se/D0coY7igg==" saltValue="5Q8R4DKhTF7qMr48vXkFgw==" spinCount="100000" sheet="1" objects="1" scenarios="1"/>
  <mergeCells count="5">
    <mergeCell ref="C2:G2"/>
    <mergeCell ref="C32:E33"/>
    <mergeCell ref="K18:M18"/>
    <mergeCell ref="I2:P2"/>
    <mergeCell ref="C31:D31"/>
  </mergeCells>
  <conditionalFormatting sqref="J24:J32">
    <cfRule type="containsErrors" dxfId="188" priority="3">
      <formula>ISERROR(J24)</formula>
    </cfRule>
    <cfRule type="containsBlanks" dxfId="187" priority="4">
      <formula>LEN(TRIM(J24))=0</formula>
    </cfRule>
  </conditionalFormatting>
  <dataValidations count="1">
    <dataValidation type="list" allowBlank="1" showInputMessage="1" showErrorMessage="1" sqref="D10">
      <formula1>$D$11:$D$14</formula1>
    </dataValidation>
  </dataValidation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heetViews>
  <sheetFormatPr defaultRowHeight="12.75" x14ac:dyDescent="0.2"/>
  <sheetData>
    <row r="1" spans="1:1" x14ac:dyDescent="0.2">
      <c r="A1" t="s">
        <v>181</v>
      </c>
    </row>
    <row r="2" spans="1:1" x14ac:dyDescent="0.2">
      <c r="A2" t="s">
        <v>182</v>
      </c>
    </row>
    <row r="3" spans="1:1" x14ac:dyDescent="0.2">
      <c r="A3" t="s">
        <v>183</v>
      </c>
    </row>
    <row r="4" spans="1:1" x14ac:dyDescent="0.2">
      <c r="A4" t="s">
        <v>184</v>
      </c>
    </row>
    <row r="5" spans="1:1" x14ac:dyDescent="0.2">
      <c r="A5" t="s">
        <v>185</v>
      </c>
    </row>
    <row r="6" spans="1:1" x14ac:dyDescent="0.2">
      <c r="A6" t="s">
        <v>186</v>
      </c>
    </row>
    <row r="7" spans="1:1" x14ac:dyDescent="0.2">
      <c r="A7" t="s">
        <v>187</v>
      </c>
    </row>
    <row r="8" spans="1:1" x14ac:dyDescent="0.2">
      <c r="A8" t="s">
        <v>188</v>
      </c>
    </row>
    <row r="9" spans="1:1" x14ac:dyDescent="0.2">
      <c r="A9" t="s">
        <v>189</v>
      </c>
    </row>
    <row r="10" spans="1:1" x14ac:dyDescent="0.2">
      <c r="A10" t="s">
        <v>190</v>
      </c>
    </row>
    <row r="11" spans="1:1" x14ac:dyDescent="0.2">
      <c r="A11" t="s">
        <v>191</v>
      </c>
    </row>
    <row r="12" spans="1:1" x14ac:dyDescent="0.2">
      <c r="A12" t="s">
        <v>192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3">
    <tabColor rgb="FFFFC000"/>
    <outlinePr showOutlineSymbols="0"/>
    <pageSetUpPr autoPageBreaks="0" fitToPage="1"/>
  </sheetPr>
  <dimension ref="A1:Z69"/>
  <sheetViews>
    <sheetView showGridLines="0" showRowColHeaders="0" showZeros="0" showOutlineSymbols="0" topLeftCell="A2" zoomScaleNormal="100" workbookViewId="0">
      <pane ySplit="6" topLeftCell="A8" activePane="bottomLeft" state="frozen"/>
      <selection activeCell="AC21" sqref="AC21"/>
      <selection pane="bottomLeft" activeCell="F11" sqref="F11"/>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6" ht="16.149999999999999" hidden="1" customHeight="1" thickTop="1" thickBot="1" x14ac:dyDescent="0.25">
      <c r="A1" s="117" t="str">
        <f ca="1">MID(CELL("filename",A1),FIND("]",CELL("filename",A1))+1,255)</f>
        <v>PB</v>
      </c>
      <c r="E1" s="120"/>
      <c r="F1" s="121"/>
      <c r="G1" s="121"/>
      <c r="H1" s="121"/>
      <c r="I1" s="121"/>
      <c r="J1" s="121"/>
      <c r="K1" s="121"/>
      <c r="L1" s="121"/>
      <c r="M1" s="121"/>
      <c r="N1" s="121"/>
      <c r="O1" s="121"/>
      <c r="P1" s="121"/>
      <c r="Q1" s="121"/>
      <c r="R1" s="121"/>
      <c r="S1" s="121"/>
      <c r="T1" s="121"/>
      <c r="U1" s="121"/>
      <c r="V1" s="121"/>
      <c r="W1" s="121"/>
      <c r="X1" s="122"/>
    </row>
    <row r="2" spans="1:26"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6" ht="26.45" customHeight="1" x14ac:dyDescent="0.2">
      <c r="E3" s="126"/>
      <c r="F3" s="127"/>
      <c r="G3" s="127"/>
      <c r="H3" s="127"/>
      <c r="I3" s="127"/>
      <c r="J3" s="127"/>
      <c r="K3" s="127"/>
      <c r="L3" s="127"/>
      <c r="M3" s="127"/>
      <c r="N3" s="127"/>
      <c r="O3" s="127"/>
      <c r="P3" s="127"/>
      <c r="Q3" s="127"/>
      <c r="R3" s="127"/>
      <c r="S3" s="127"/>
      <c r="T3" s="127"/>
      <c r="U3" s="127"/>
      <c r="V3" s="127"/>
      <c r="W3" s="127"/>
      <c r="X3" s="128"/>
    </row>
    <row r="4" spans="1:26" ht="26.45" customHeight="1" x14ac:dyDescent="0.2">
      <c r="E4" s="211"/>
      <c r="F4" s="212"/>
      <c r="G4" s="212"/>
      <c r="H4" s="212"/>
      <c r="I4" s="212"/>
      <c r="J4" s="212"/>
      <c r="K4" s="212"/>
      <c r="L4" s="212"/>
      <c r="M4" s="212"/>
      <c r="N4" s="212"/>
      <c r="O4" s="212"/>
      <c r="P4" s="212"/>
      <c r="Q4" s="212"/>
      <c r="R4" s="212"/>
      <c r="S4" s="212"/>
      <c r="T4" s="212"/>
      <c r="U4" s="212"/>
      <c r="V4" s="212"/>
      <c r="W4" s="212"/>
      <c r="X4" s="213"/>
    </row>
    <row r="5" spans="1:26"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6" ht="16.149999999999999" customHeight="1" thickTop="1" x14ac:dyDescent="0.2">
      <c r="E6" s="566" t="str">
        <f>REP.title1</f>
        <v>STEAM FINAL TREND REPORT FOR 2009-2013</v>
      </c>
      <c r="F6" s="567"/>
      <c r="G6" s="567"/>
      <c r="H6" s="567"/>
      <c r="I6" s="567"/>
      <c r="J6" s="567"/>
      <c r="K6" s="567"/>
      <c r="L6" s="567"/>
      <c r="M6" s="567"/>
      <c r="N6" s="567"/>
      <c r="O6" s="567"/>
      <c r="P6" s="568"/>
      <c r="Q6" s="568"/>
      <c r="R6" s="568"/>
      <c r="S6" s="734" t="s">
        <v>170</v>
      </c>
      <c r="T6" s="735"/>
      <c r="U6" s="735"/>
      <c r="V6" s="735"/>
      <c r="W6" s="735"/>
      <c r="X6" s="736"/>
    </row>
    <row r="7" spans="1:26" ht="16.149999999999999" customHeight="1" thickBot="1" x14ac:dyDescent="0.25">
      <c r="E7" s="569" t="str">
        <f>REP.title2</f>
        <v>MORAY HIE</v>
      </c>
      <c r="F7" s="570"/>
      <c r="G7" s="570"/>
      <c r="H7" s="570"/>
      <c r="I7" s="571"/>
      <c r="J7" s="571"/>
      <c r="K7" s="571"/>
      <c r="L7" s="571"/>
      <c r="M7" s="571"/>
      <c r="N7" s="571"/>
      <c r="O7" s="572"/>
      <c r="P7" s="572"/>
      <c r="Q7" s="572"/>
      <c r="R7" s="572"/>
      <c r="S7" s="737"/>
      <c r="T7" s="738"/>
      <c r="U7" s="738"/>
      <c r="V7" s="738"/>
      <c r="W7" s="738"/>
      <c r="X7" s="739"/>
    </row>
    <row r="8" spans="1:26" ht="16.149999999999999" customHeight="1" thickTop="1" thickBot="1" x14ac:dyDescent="0.25">
      <c r="E8" s="250"/>
      <c r="F8" s="251"/>
      <c r="G8" s="251"/>
      <c r="H8" s="251"/>
      <c r="I8" s="251"/>
      <c r="J8" s="251"/>
      <c r="K8" s="251"/>
      <c r="L8" s="251"/>
      <c r="M8" s="251"/>
      <c r="N8" s="251"/>
      <c r="O8" s="250"/>
      <c r="P8" s="251"/>
      <c r="Q8" s="251"/>
      <c r="R8" s="251"/>
      <c r="S8" s="251"/>
      <c r="T8" s="251"/>
      <c r="U8" s="251"/>
      <c r="V8" s="251"/>
      <c r="W8" s="251"/>
      <c r="X8" s="252"/>
    </row>
    <row r="9" spans="1:26" s="132" customFormat="1" ht="16.149999999999999" customHeight="1" thickTop="1" x14ac:dyDescent="0.2">
      <c r="E9" s="740" t="s">
        <v>209</v>
      </c>
      <c r="F9" s="741"/>
      <c r="G9" s="741"/>
      <c r="H9" s="741"/>
      <c r="I9" s="741"/>
      <c r="J9" s="741"/>
      <c r="K9" s="741"/>
      <c r="L9" s="741"/>
      <c r="M9" s="741"/>
      <c r="N9" s="741"/>
      <c r="O9" s="741"/>
      <c r="P9" s="741"/>
      <c r="Q9" s="741"/>
      <c r="R9" s="741"/>
      <c r="S9" s="741"/>
      <c r="T9" s="741"/>
      <c r="U9" s="741"/>
      <c r="V9" s="741"/>
      <c r="W9" s="741"/>
      <c r="X9" s="742"/>
    </row>
    <row r="10" spans="1:26" s="132" customFormat="1" ht="16.149999999999999" customHeight="1" thickBot="1" x14ac:dyDescent="0.25">
      <c r="E10" s="743"/>
      <c r="F10" s="744"/>
      <c r="G10" s="744"/>
      <c r="H10" s="744"/>
      <c r="I10" s="744"/>
      <c r="J10" s="744"/>
      <c r="K10" s="744"/>
      <c r="L10" s="744"/>
      <c r="M10" s="744"/>
      <c r="N10" s="744"/>
      <c r="O10" s="744"/>
      <c r="P10" s="744"/>
      <c r="Q10" s="744"/>
      <c r="R10" s="744"/>
      <c r="S10" s="744"/>
      <c r="T10" s="744"/>
      <c r="U10" s="744"/>
      <c r="V10" s="744"/>
      <c r="W10" s="744"/>
      <c r="X10" s="745"/>
    </row>
    <row r="11" spans="1:26" s="132" customFormat="1" ht="16.149999999999999" customHeight="1" thickTop="1" x14ac:dyDescent="0.2">
      <c r="E11" s="579" t="s">
        <v>169</v>
      </c>
      <c r="F11" s="585" t="str">
        <f t="array" ref="F11:F24">IFERROR(INDEX(TYPE.choices,{1;2;3;4;5;6;7;8;9;10;11;12;13;14}),"")</f>
        <v>Total</v>
      </c>
      <c r="G11" s="580"/>
      <c r="H11" s="580"/>
      <c r="I11" s="580"/>
      <c r="J11" s="580"/>
      <c r="K11" s="580"/>
      <c r="L11" s="580"/>
      <c r="M11" s="580"/>
      <c r="N11" s="580"/>
      <c r="O11" s="580"/>
      <c r="P11" s="580"/>
      <c r="Q11" s="580"/>
      <c r="R11" s="580"/>
      <c r="S11" s="580"/>
      <c r="T11" s="580"/>
      <c r="U11" s="580"/>
      <c r="V11" s="580"/>
      <c r="W11" s="580"/>
      <c r="X11" s="581"/>
    </row>
    <row r="12" spans="1:26" ht="16.149999999999999" customHeight="1" x14ac:dyDescent="0.2">
      <c r="E12" s="582"/>
      <c r="F12" s="585" t="str">
        <v>Serviced Accommodation</v>
      </c>
      <c r="G12" s="583"/>
      <c r="H12" s="583"/>
      <c r="I12" s="583"/>
      <c r="J12" s="583"/>
      <c r="K12" s="583"/>
      <c r="L12" s="583"/>
      <c r="M12" s="583"/>
      <c r="N12" s="583"/>
      <c r="O12" s="583"/>
      <c r="P12" s="583"/>
      <c r="Q12" s="583"/>
      <c r="R12" s="583"/>
      <c r="S12" s="583"/>
      <c r="T12" s="583"/>
      <c r="U12" s="583"/>
      <c r="V12" s="583"/>
      <c r="W12" s="583"/>
      <c r="X12" s="584"/>
    </row>
    <row r="13" spans="1:26" ht="16.149999999999999" customHeight="1" x14ac:dyDescent="0.2">
      <c r="E13" s="575"/>
      <c r="F13" s="585" t="str">
        <v>Non-Serviced Accommodation</v>
      </c>
      <c r="G13" s="576"/>
      <c r="H13" s="576"/>
      <c r="I13" s="576"/>
      <c r="J13" s="576"/>
      <c r="K13" s="576"/>
      <c r="L13" s="576"/>
      <c r="M13" s="576"/>
      <c r="N13" s="576"/>
      <c r="O13" s="576"/>
      <c r="P13" s="576"/>
      <c r="Q13" s="576"/>
      <c r="R13" s="576"/>
      <c r="S13" s="576"/>
      <c r="T13" s="576"/>
      <c r="U13" s="576"/>
      <c r="V13" s="576"/>
      <c r="W13" s="576"/>
      <c r="X13" s="577"/>
    </row>
    <row r="14" spans="1:26" ht="16.149999999999999" customHeight="1" x14ac:dyDescent="0.2">
      <c r="E14" s="575"/>
      <c r="F14" s="585" t="str">
        <v>SFR</v>
      </c>
      <c r="G14" s="576"/>
      <c r="H14" s="576"/>
      <c r="I14" s="576"/>
      <c r="J14" s="576"/>
      <c r="K14" s="576"/>
      <c r="L14" s="576"/>
      <c r="M14" s="576"/>
      <c r="N14" s="576"/>
      <c r="O14" s="576"/>
      <c r="P14" s="576"/>
      <c r="Q14" s="576"/>
      <c r="R14" s="576"/>
      <c r="S14" s="576"/>
      <c r="T14" s="576"/>
      <c r="U14" s="576"/>
      <c r="V14" s="576"/>
      <c r="W14" s="576"/>
      <c r="X14" s="577"/>
    </row>
    <row r="15" spans="1:26" ht="16.149999999999999" customHeight="1" x14ac:dyDescent="0.2">
      <c r="E15" s="575"/>
      <c r="F15" s="585" t="str">
        <v>Staying Visitor</v>
      </c>
      <c r="G15" s="576"/>
      <c r="H15" s="576"/>
      <c r="I15" s="576"/>
      <c r="J15" s="576"/>
      <c r="K15" s="576"/>
      <c r="L15" s="576"/>
      <c r="M15" s="576"/>
      <c r="N15" s="576"/>
      <c r="O15" s="576"/>
      <c r="P15" s="576"/>
      <c r="Q15" s="576"/>
      <c r="R15" s="576"/>
      <c r="S15" s="576"/>
      <c r="T15" s="576"/>
      <c r="U15" s="576"/>
      <c r="V15" s="576"/>
      <c r="W15" s="576"/>
      <c r="X15" s="577"/>
    </row>
    <row r="16" spans="1:26" ht="16.149999999999999" customHeight="1" x14ac:dyDescent="0.2">
      <c r="E16" s="575"/>
      <c r="F16" s="585" t="str">
        <v>Day Visitor</v>
      </c>
      <c r="G16" s="576"/>
      <c r="H16" s="576"/>
      <c r="I16" s="576"/>
      <c r="J16" s="576"/>
      <c r="K16" s="576"/>
      <c r="L16" s="576"/>
      <c r="M16" s="576"/>
      <c r="N16" s="576"/>
      <c r="O16" s="576"/>
      <c r="P16" s="576"/>
      <c r="Q16" s="576"/>
      <c r="R16" s="576"/>
      <c r="S16" s="576"/>
      <c r="T16" s="576"/>
      <c r="U16" s="576"/>
      <c r="V16" s="576"/>
      <c r="W16" s="576"/>
      <c r="X16" s="577"/>
      <c r="Y16" s="277"/>
      <c r="Z16" s="118" t="b">
        <f>K16&gt;1000000</f>
        <v>0</v>
      </c>
    </row>
    <row r="17" spans="4:24" ht="16.149999999999999" customHeight="1" x14ac:dyDescent="0.2">
      <c r="E17" s="575"/>
      <c r="F17" s="586" t="str">
        <v/>
      </c>
      <c r="G17" s="576"/>
      <c r="H17" s="576"/>
      <c r="I17" s="576"/>
      <c r="J17" s="576"/>
      <c r="K17" s="576"/>
      <c r="L17" s="576"/>
      <c r="M17" s="576"/>
      <c r="N17" s="576"/>
      <c r="O17" s="576"/>
      <c r="P17" s="576"/>
      <c r="Q17" s="576"/>
      <c r="R17" s="576"/>
      <c r="S17" s="576"/>
      <c r="T17" s="576"/>
      <c r="U17" s="576"/>
      <c r="V17" s="576"/>
      <c r="W17" s="576"/>
      <c r="X17" s="577"/>
    </row>
    <row r="18" spans="4:24" ht="16.149999999999999" customHeight="1" x14ac:dyDescent="0.2">
      <c r="E18" s="575"/>
      <c r="F18" s="586" t="str">
        <v/>
      </c>
      <c r="G18" s="576"/>
      <c r="H18" s="576"/>
      <c r="I18" s="576"/>
      <c r="J18" s="576"/>
      <c r="K18" s="576"/>
      <c r="L18" s="576"/>
      <c r="M18" s="576"/>
      <c r="N18" s="576"/>
      <c r="O18" s="576"/>
      <c r="P18" s="576"/>
      <c r="Q18" s="576"/>
      <c r="R18" s="576"/>
      <c r="S18" s="576"/>
      <c r="T18" s="576"/>
      <c r="U18" s="576"/>
      <c r="V18" s="576"/>
      <c r="W18" s="576"/>
      <c r="X18" s="577"/>
    </row>
    <row r="19" spans="4:24" ht="16.149999999999999" customHeight="1" x14ac:dyDescent="0.2">
      <c r="E19" s="575"/>
      <c r="F19" s="586" t="str">
        <v/>
      </c>
      <c r="G19" s="576"/>
      <c r="H19" s="576"/>
      <c r="I19" s="576"/>
      <c r="J19" s="576"/>
      <c r="K19" s="576"/>
      <c r="L19" s="576"/>
      <c r="M19" s="576"/>
      <c r="N19" s="576"/>
      <c r="O19" s="576"/>
      <c r="P19" s="576"/>
      <c r="Q19" s="576"/>
      <c r="R19" s="576"/>
      <c r="S19" s="576"/>
      <c r="T19" s="576"/>
      <c r="U19" s="576"/>
      <c r="V19" s="576"/>
      <c r="W19" s="576"/>
      <c r="X19" s="577"/>
    </row>
    <row r="20" spans="4:24" ht="16.149999999999999" customHeight="1" x14ac:dyDescent="0.2">
      <c r="E20" s="575"/>
      <c r="F20" s="586" t="str">
        <v/>
      </c>
      <c r="G20" s="576"/>
      <c r="H20" s="576"/>
      <c r="I20" s="576"/>
      <c r="J20" s="576"/>
      <c r="K20" s="576"/>
      <c r="L20" s="576"/>
      <c r="M20" s="576"/>
      <c r="N20" s="576"/>
      <c r="O20" s="576"/>
      <c r="P20" s="576"/>
      <c r="Q20" s="576"/>
      <c r="R20" s="576"/>
      <c r="S20" s="576"/>
      <c r="T20" s="576"/>
      <c r="U20" s="576"/>
      <c r="V20" s="576"/>
      <c r="W20" s="576"/>
      <c r="X20" s="577"/>
    </row>
    <row r="21" spans="4:24" ht="16.149999999999999" customHeight="1" x14ac:dyDescent="0.2">
      <c r="E21" s="575"/>
      <c r="F21" s="586" t="str">
        <v/>
      </c>
      <c r="G21" s="576"/>
      <c r="H21" s="576"/>
      <c r="I21" s="576"/>
      <c r="J21" s="576"/>
      <c r="K21" s="576"/>
      <c r="L21" s="576"/>
      <c r="M21" s="576"/>
      <c r="N21" s="576"/>
      <c r="O21" s="576"/>
      <c r="P21" s="576"/>
      <c r="Q21" s="576"/>
      <c r="R21" s="576"/>
      <c r="S21" s="576"/>
      <c r="T21" s="576"/>
      <c r="U21" s="576"/>
      <c r="V21" s="576"/>
      <c r="W21" s="576"/>
      <c r="X21" s="577"/>
    </row>
    <row r="22" spans="4:24" ht="16.149999999999999" customHeight="1" x14ac:dyDescent="0.2">
      <c r="E22" s="575"/>
      <c r="F22" s="586" t="str">
        <v/>
      </c>
      <c r="G22" s="576"/>
      <c r="H22" s="576"/>
      <c r="I22" s="576"/>
      <c r="J22" s="576"/>
      <c r="K22" s="576"/>
      <c r="L22" s="576"/>
      <c r="M22" s="576"/>
      <c r="N22" s="576"/>
      <c r="O22" s="576"/>
      <c r="P22" s="576"/>
      <c r="Q22" s="576"/>
      <c r="R22" s="576"/>
      <c r="S22" s="576"/>
      <c r="T22" s="576"/>
      <c r="U22" s="576"/>
      <c r="V22" s="576"/>
      <c r="W22" s="576"/>
      <c r="X22" s="577"/>
    </row>
    <row r="23" spans="4:24" ht="16.149999999999999" customHeight="1" x14ac:dyDescent="0.2">
      <c r="E23" s="575"/>
      <c r="F23" s="586" t="str">
        <v/>
      </c>
      <c r="G23" s="576"/>
      <c r="H23" s="576"/>
      <c r="I23" s="576"/>
      <c r="J23" s="576"/>
      <c r="K23" s="576"/>
      <c r="L23" s="576"/>
      <c r="M23" s="576"/>
      <c r="N23" s="576"/>
      <c r="O23" s="576"/>
      <c r="P23" s="576"/>
      <c r="Q23" s="576"/>
      <c r="R23" s="576"/>
      <c r="S23" s="576"/>
      <c r="T23" s="576"/>
      <c r="U23" s="576"/>
      <c r="V23" s="576"/>
      <c r="W23" s="576"/>
      <c r="X23" s="577"/>
    </row>
    <row r="24" spans="4:24" ht="16.149999999999999" customHeight="1" x14ac:dyDescent="0.2">
      <c r="E24" s="575"/>
      <c r="F24" s="586" t="str">
        <v/>
      </c>
      <c r="G24" s="576"/>
      <c r="H24" s="576"/>
      <c r="I24" s="576"/>
      <c r="J24" s="576"/>
      <c r="K24" s="576"/>
      <c r="L24" s="576"/>
      <c r="M24" s="576"/>
      <c r="N24" s="576"/>
      <c r="O24" s="576"/>
      <c r="P24" s="576"/>
      <c r="Q24" s="576"/>
      <c r="R24" s="576"/>
      <c r="S24" s="576"/>
      <c r="T24" s="576"/>
      <c r="U24" s="576"/>
      <c r="V24" s="576"/>
      <c r="W24" s="576"/>
      <c r="X24" s="577"/>
    </row>
    <row r="25" spans="4:24" ht="16.149999999999999" customHeight="1" x14ac:dyDescent="0.2">
      <c r="E25" s="575"/>
      <c r="F25" s="576"/>
      <c r="G25" s="576"/>
      <c r="H25" s="576"/>
      <c r="I25" s="576"/>
      <c r="J25" s="576"/>
      <c r="K25" s="576"/>
      <c r="L25" s="576"/>
      <c r="M25" s="576"/>
      <c r="N25" s="576"/>
      <c r="O25" s="576"/>
      <c r="P25" s="576"/>
      <c r="Q25" s="576"/>
      <c r="R25" s="576"/>
      <c r="S25" s="576"/>
      <c r="T25" s="576"/>
      <c r="U25" s="576"/>
      <c r="V25" s="576"/>
      <c r="W25" s="576"/>
      <c r="X25" s="577"/>
    </row>
    <row r="26" spans="4:24" ht="16.149999999999999" customHeight="1" x14ac:dyDescent="0.2">
      <c r="E26" s="575"/>
      <c r="F26" s="576"/>
      <c r="G26" s="576"/>
      <c r="H26" s="576"/>
      <c r="I26" s="576"/>
      <c r="J26" s="576"/>
      <c r="K26" s="576"/>
      <c r="L26" s="576"/>
      <c r="M26" s="576"/>
      <c r="N26" s="576"/>
      <c r="O26" s="576"/>
      <c r="P26" s="576"/>
      <c r="Q26" s="576"/>
      <c r="R26" s="576"/>
      <c r="S26" s="576"/>
      <c r="T26" s="576"/>
      <c r="U26" s="576"/>
      <c r="V26" s="576"/>
      <c r="W26" s="576"/>
      <c r="X26" s="577"/>
    </row>
    <row r="27" spans="4:24" ht="16.149999999999999" customHeight="1" x14ac:dyDescent="0.2">
      <c r="D27" s="203" t="str">
        <f ca="1">"'"&amp;$A$1&amp;"'!"&amp;CELL("address",G27)&amp;":"&amp;CELL("address",OFFSET(G27,0,COUNT(REP.yearsrange)-1))</f>
        <v>'PB'!$G$27:$K$27</v>
      </c>
      <c r="E27" s="575"/>
      <c r="F27" s="576"/>
      <c r="G27" s="576"/>
      <c r="H27" s="576"/>
      <c r="I27" s="576"/>
      <c r="J27" s="576"/>
      <c r="K27" s="576"/>
      <c r="L27" s="576"/>
      <c r="M27" s="576"/>
      <c r="N27" s="576"/>
      <c r="O27" s="576"/>
      <c r="P27" s="576"/>
      <c r="Q27" s="576"/>
      <c r="R27" s="576"/>
      <c r="S27" s="576"/>
      <c r="T27" s="576"/>
      <c r="U27" s="576"/>
      <c r="V27" s="576"/>
      <c r="W27" s="576"/>
      <c r="X27" s="577"/>
    </row>
    <row r="28" spans="4:24" ht="16.149999999999999" customHeight="1" x14ac:dyDescent="0.2">
      <c r="D28" s="203" t="str">
        <f ca="1">"'"&amp;$A$1&amp;"'!"&amp;CELL("address",G28)&amp;":"&amp;CELL("address",OFFSET(G28,0,COUNT(REP.yearsrange)-1))</f>
        <v>'PB'!$G$28:$K$28</v>
      </c>
      <c r="E28" s="575"/>
      <c r="F28" s="576"/>
      <c r="G28" s="576"/>
      <c r="H28" s="576"/>
      <c r="I28" s="576"/>
      <c r="J28" s="576"/>
      <c r="K28" s="576"/>
      <c r="L28" s="576"/>
      <c r="M28" s="576"/>
      <c r="N28" s="576"/>
      <c r="O28" s="576"/>
      <c r="P28" s="576"/>
      <c r="Q28" s="576"/>
      <c r="R28" s="576"/>
      <c r="S28" s="576"/>
      <c r="T28" s="576"/>
      <c r="U28" s="576"/>
      <c r="V28" s="576"/>
      <c r="W28" s="576"/>
      <c r="X28" s="577"/>
    </row>
    <row r="29" spans="4:24" ht="16.149999999999999" customHeight="1" x14ac:dyDescent="0.2">
      <c r="D29" s="203" t="str">
        <f ca="1">"'"&amp;$A$1&amp;"'!"&amp;CELL("address",G29)&amp;":"&amp;CELL("address",OFFSET(G29,0,COUNT(REP.yearsrange)-1))</f>
        <v>'PB'!$G$29:$K$29</v>
      </c>
      <c r="E29" s="575"/>
      <c r="F29" s="576"/>
      <c r="G29" s="576"/>
      <c r="H29" s="576"/>
      <c r="I29" s="576"/>
      <c r="J29" s="576"/>
      <c r="K29" s="576"/>
      <c r="L29" s="576"/>
      <c r="M29" s="576"/>
      <c r="N29" s="576"/>
      <c r="O29" s="576"/>
      <c r="P29" s="576"/>
      <c r="Q29" s="576"/>
      <c r="R29" s="576"/>
      <c r="S29" s="576"/>
      <c r="T29" s="576"/>
      <c r="U29" s="576"/>
      <c r="V29" s="576"/>
      <c r="W29" s="576"/>
      <c r="X29" s="577"/>
    </row>
    <row r="30" spans="4:24" ht="16.149999999999999" customHeight="1" x14ac:dyDescent="0.2">
      <c r="D30" s="203" t="str">
        <f ca="1">"'"&amp;$A$1&amp;"'!"&amp;CELL("address",G30)&amp;":"&amp;CELL("address",OFFSET(G30,0,COUNT(REP.yearsrange)-1))</f>
        <v>'PB'!$G$30:$K$30</v>
      </c>
      <c r="E30" s="575"/>
      <c r="F30" s="576"/>
      <c r="G30" s="576"/>
      <c r="H30" s="576"/>
      <c r="I30" s="576"/>
      <c r="J30" s="576"/>
      <c r="K30" s="576"/>
      <c r="L30" s="576"/>
      <c r="M30" s="576"/>
      <c r="N30" s="576"/>
      <c r="O30" s="576"/>
      <c r="P30" s="576"/>
      <c r="Q30" s="576"/>
      <c r="R30" s="576"/>
      <c r="S30" s="576"/>
      <c r="T30" s="576"/>
      <c r="U30" s="576"/>
      <c r="V30" s="576"/>
      <c r="W30" s="576"/>
      <c r="X30" s="577"/>
    </row>
    <row r="31" spans="4:24" ht="16.149999999999999" customHeight="1" x14ac:dyDescent="0.2">
      <c r="D31" s="203" t="str">
        <f ca="1">"'"&amp;$A$1&amp;"'!"&amp;CELL("address",G31)&amp;":"&amp;CELL("address",OFFSET(G31,0,COUNT(REP.yearsrange)-1))</f>
        <v>'PB'!$G$31:$K$31</v>
      </c>
      <c r="E31" s="575"/>
      <c r="F31" s="576"/>
      <c r="G31" s="576"/>
      <c r="H31" s="576"/>
      <c r="I31" s="576"/>
      <c r="J31" s="576"/>
      <c r="K31" s="576"/>
      <c r="L31" s="576"/>
      <c r="M31" s="576"/>
      <c r="N31" s="576"/>
      <c r="O31" s="576"/>
      <c r="P31" s="576"/>
      <c r="Q31" s="576"/>
      <c r="R31" s="576"/>
      <c r="S31" s="576"/>
      <c r="T31" s="576"/>
      <c r="U31" s="576"/>
      <c r="V31" s="576"/>
      <c r="W31" s="576"/>
      <c r="X31" s="577"/>
    </row>
    <row r="32" spans="4:24" ht="16.149999999999999" customHeight="1" x14ac:dyDescent="0.2">
      <c r="D32" s="203" t="str">
        <f ca="1">"'"&amp;$A$1&amp;"'!"&amp;CELL("address",G32)&amp;":"&amp;CELL("address",OFFSET(G32,0,COUNT(REP.yearsrange)-1))</f>
        <v>'PB'!$G$32:$K$32</v>
      </c>
      <c r="E32" s="575"/>
      <c r="F32" s="576"/>
      <c r="G32" s="576"/>
      <c r="H32" s="576"/>
      <c r="I32" s="576"/>
      <c r="J32" s="576"/>
      <c r="K32" s="576"/>
      <c r="L32" s="576"/>
      <c r="M32" s="576"/>
      <c r="N32" s="576"/>
      <c r="O32" s="576"/>
      <c r="P32" s="576"/>
      <c r="Q32" s="576"/>
      <c r="R32" s="576"/>
      <c r="S32" s="576"/>
      <c r="T32" s="576"/>
      <c r="U32" s="576"/>
      <c r="V32" s="576"/>
      <c r="W32" s="576"/>
      <c r="X32" s="577"/>
    </row>
    <row r="33" spans="4:24" ht="16.149999999999999" customHeight="1" x14ac:dyDescent="0.2">
      <c r="D33" s="203"/>
      <c r="E33" s="575"/>
      <c r="F33" s="576"/>
      <c r="G33" s="576"/>
      <c r="H33" s="576"/>
      <c r="I33" s="576"/>
      <c r="J33" s="576"/>
      <c r="K33" s="576"/>
      <c r="L33" s="576"/>
      <c r="M33" s="576"/>
      <c r="N33" s="576"/>
      <c r="O33" s="576"/>
      <c r="P33" s="576"/>
      <c r="Q33" s="576"/>
      <c r="R33" s="576"/>
      <c r="S33" s="576"/>
      <c r="T33" s="576"/>
      <c r="U33" s="576"/>
      <c r="V33" s="576"/>
      <c r="W33" s="576"/>
      <c r="X33" s="577"/>
    </row>
    <row r="34" spans="4:24" ht="16.149999999999999" customHeight="1" x14ac:dyDescent="0.2">
      <c r="D34" s="203"/>
      <c r="E34" s="575"/>
      <c r="F34" s="576"/>
      <c r="G34" s="576"/>
      <c r="H34" s="576"/>
      <c r="I34" s="576"/>
      <c r="J34" s="576"/>
      <c r="K34" s="576"/>
      <c r="L34" s="576"/>
      <c r="M34" s="576"/>
      <c r="N34" s="576"/>
      <c r="O34" s="576"/>
      <c r="P34" s="576"/>
      <c r="Q34" s="576"/>
      <c r="R34" s="576"/>
      <c r="S34" s="576"/>
      <c r="T34" s="576"/>
      <c r="U34" s="576"/>
      <c r="V34" s="576"/>
      <c r="W34" s="576"/>
      <c r="X34" s="577"/>
    </row>
    <row r="35" spans="4:24" ht="16.149999999999999" customHeight="1" x14ac:dyDescent="0.2">
      <c r="D35" s="203"/>
      <c r="E35" s="575"/>
      <c r="F35" s="576"/>
      <c r="G35" s="576"/>
      <c r="H35" s="576"/>
      <c r="I35" s="576"/>
      <c r="J35" s="576"/>
      <c r="K35" s="576"/>
      <c r="L35" s="576"/>
      <c r="M35" s="576"/>
      <c r="N35" s="576"/>
      <c r="O35" s="576"/>
      <c r="P35" s="576"/>
      <c r="Q35" s="576"/>
      <c r="R35" s="576"/>
      <c r="S35" s="576"/>
      <c r="T35" s="576"/>
      <c r="U35" s="576"/>
      <c r="V35" s="576"/>
      <c r="W35" s="576"/>
      <c r="X35" s="577"/>
    </row>
    <row r="36" spans="4:24" ht="16.149999999999999" customHeight="1" thickBot="1" x14ac:dyDescent="0.25">
      <c r="D36" s="203"/>
      <c r="E36" s="573"/>
      <c r="F36" s="574"/>
      <c r="G36" s="574"/>
      <c r="H36" s="574"/>
      <c r="I36" s="574"/>
      <c r="J36" s="574"/>
      <c r="K36" s="574"/>
      <c r="L36" s="574"/>
      <c r="M36" s="574"/>
      <c r="N36" s="574"/>
      <c r="O36" s="574"/>
      <c r="P36" s="574"/>
      <c r="Q36" s="574"/>
      <c r="R36" s="574"/>
      <c r="S36" s="574"/>
      <c r="T36" s="574"/>
      <c r="U36" s="574"/>
      <c r="V36" s="574"/>
      <c r="W36" s="574"/>
      <c r="X36" s="578"/>
    </row>
    <row r="37" spans="4:24" s="181" customFormat="1" ht="16.149999999999999" customHeight="1" thickTop="1" thickBot="1" x14ac:dyDescent="0.2">
      <c r="D37" s="177"/>
      <c r="E37" s="178" t="str">
        <f>REP.footer1</f>
        <v>This report is copyright © Global Tourism Solutions (UK) Ltd 2014</v>
      </c>
      <c r="F37" s="179"/>
      <c r="G37" s="179"/>
      <c r="H37" s="179"/>
      <c r="I37" s="179"/>
      <c r="J37" s="179"/>
      <c r="K37" s="179"/>
      <c r="L37" s="179"/>
      <c r="M37" s="179"/>
      <c r="N37" s="179"/>
      <c r="O37" s="179"/>
      <c r="P37" s="179"/>
      <c r="Q37" s="179"/>
      <c r="R37" s="179"/>
      <c r="S37" s="179"/>
      <c r="T37" s="179"/>
      <c r="U37" s="179"/>
      <c r="V37" s="179"/>
      <c r="W37" s="179"/>
      <c r="X37" s="180" t="str">
        <f>REP.footer2</f>
        <v>Report Prepared by: Alison Tipler. Date of Issue: 11/04/14</v>
      </c>
    </row>
    <row r="38" spans="4:24" ht="16.149999999999999" customHeight="1" thickTop="1" x14ac:dyDescent="0.2"/>
    <row r="39" spans="4:24" ht="16.149999999999999" customHeight="1" x14ac:dyDescent="0.2">
      <c r="G39" s="247"/>
      <c r="H39" s="247"/>
      <c r="I39" s="247"/>
      <c r="J39" s="247"/>
      <c r="K39" s="247"/>
      <c r="L39" s="247"/>
      <c r="M39" s="247"/>
      <c r="N39" s="247"/>
      <c r="O39" s="247"/>
      <c r="P39" s="247"/>
      <c r="Q39" s="247"/>
      <c r="R39" s="247"/>
      <c r="S39" s="247"/>
      <c r="T39" s="247"/>
      <c r="U39" s="247"/>
      <c r="V39" s="247"/>
    </row>
    <row r="40" spans="4:24" ht="16.149999999999999" customHeight="1" x14ac:dyDescent="0.2">
      <c r="G40" s="247"/>
      <c r="H40" s="247"/>
      <c r="I40" s="247"/>
      <c r="J40" s="247"/>
      <c r="K40" s="247"/>
      <c r="L40" s="247"/>
      <c r="M40" s="247"/>
      <c r="N40" s="247"/>
      <c r="O40" s="247"/>
      <c r="P40" s="247"/>
      <c r="Q40" s="247"/>
      <c r="R40" s="247"/>
      <c r="S40" s="247"/>
      <c r="T40" s="247"/>
      <c r="U40" s="247"/>
      <c r="V40" s="247"/>
    </row>
    <row r="69" spans="7:23" ht="16.149999999999999" customHeight="1" x14ac:dyDescent="0.2">
      <c r="G69" s="118" t="s">
        <v>44</v>
      </c>
      <c r="H69" s="118" t="s">
        <v>44</v>
      </c>
      <c r="J69" s="118" t="s">
        <v>49</v>
      </c>
      <c r="K69" s="118" t="s">
        <v>49</v>
      </c>
      <c r="M69" s="118" t="s">
        <v>19</v>
      </c>
      <c r="N69" s="118" t="s">
        <v>19</v>
      </c>
      <c r="P69" s="118" t="s">
        <v>97</v>
      </c>
      <c r="S69" s="118" t="s">
        <v>73</v>
      </c>
      <c r="T69" s="118" t="s">
        <v>73</v>
      </c>
      <c r="V69" s="118" t="s">
        <v>55</v>
      </c>
      <c r="W69" s="118" t="s">
        <v>55</v>
      </c>
    </row>
  </sheetData>
  <sheetProtection algorithmName="SHA-512" hashValue="V2A/YdsihmVez4PU1G+finq8WzkqEMNJdPS7TS7gAU6G7N9HkbE/MfTOoVmN4wSuYzAQxx90cH47CgIVLLnY7w==" saltValue="Q7ly+8TNYrBW4eURDRfq8A==" spinCount="100000" sheet="1" objects="1" scenarios="1"/>
  <mergeCells count="2">
    <mergeCell ref="S6:X7"/>
    <mergeCell ref="E9:X10"/>
  </mergeCells>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4">
    <tabColor rgb="FFFFC000"/>
    <outlinePr showOutlineSymbols="0"/>
    <pageSetUpPr autoPageBreaks="0" fitToPage="1"/>
  </sheetPr>
  <dimension ref="A1:Z69"/>
  <sheetViews>
    <sheetView showGridLines="0" showRowColHeaders="0" showZeros="0" showOutlineSymbols="0" topLeftCell="A2" zoomScaleNormal="100" workbookViewId="0">
      <pane ySplit="6" topLeftCell="A8" activePane="bottomLeft" state="frozen"/>
      <selection activeCell="AC21" sqref="AC21"/>
      <selection pane="bottomLeft" activeCell="F32" sqref="F32"/>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6" ht="16.149999999999999" hidden="1" customHeight="1" thickTop="1" thickBot="1" x14ac:dyDescent="0.25">
      <c r="A1" s="117" t="str">
        <f ca="1">MID(CELL("filename",A1),FIND("]",CELL("filename",A1))+1,255)</f>
        <v>ANNEX</v>
      </c>
      <c r="E1" s="120"/>
      <c r="F1" s="121"/>
      <c r="G1" s="121"/>
      <c r="H1" s="121"/>
      <c r="I1" s="121"/>
      <c r="J1" s="121"/>
      <c r="K1" s="121"/>
      <c r="L1" s="121"/>
      <c r="M1" s="121"/>
      <c r="N1" s="121"/>
      <c r="O1" s="121"/>
      <c r="P1" s="121"/>
      <c r="Q1" s="121"/>
      <c r="R1" s="121"/>
      <c r="S1" s="121"/>
      <c r="T1" s="121"/>
      <c r="U1" s="121"/>
      <c r="V1" s="121"/>
      <c r="W1" s="121"/>
      <c r="X1" s="122"/>
    </row>
    <row r="2" spans="1:26"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6" ht="26.45" customHeight="1" x14ac:dyDescent="0.2">
      <c r="E3" s="126"/>
      <c r="F3" s="127"/>
      <c r="G3" s="127"/>
      <c r="H3" s="127"/>
      <c r="I3" s="127"/>
      <c r="J3" s="127"/>
      <c r="K3" s="127"/>
      <c r="L3" s="127"/>
      <c r="M3" s="127"/>
      <c r="N3" s="127"/>
      <c r="O3" s="127"/>
      <c r="P3" s="127"/>
      <c r="Q3" s="127"/>
      <c r="R3" s="127"/>
      <c r="S3" s="127"/>
      <c r="T3" s="127"/>
      <c r="U3" s="127"/>
      <c r="V3" s="127"/>
      <c r="W3" s="127"/>
      <c r="X3" s="128"/>
    </row>
    <row r="4" spans="1:26" ht="26.45" customHeight="1" x14ac:dyDescent="0.2">
      <c r="E4" s="211"/>
      <c r="F4" s="212"/>
      <c r="G4" s="212"/>
      <c r="H4" s="212"/>
      <c r="I4" s="212"/>
      <c r="J4" s="212"/>
      <c r="K4" s="212"/>
      <c r="L4" s="212"/>
      <c r="M4" s="212"/>
      <c r="N4" s="212"/>
      <c r="O4" s="212"/>
      <c r="P4" s="212"/>
      <c r="Q4" s="212"/>
      <c r="R4" s="212"/>
      <c r="S4" s="212"/>
      <c r="T4" s="212"/>
      <c r="U4" s="212"/>
      <c r="V4" s="212"/>
      <c r="W4" s="212"/>
      <c r="X4" s="213"/>
    </row>
    <row r="5" spans="1:26"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6" ht="16.149999999999999" customHeight="1" thickTop="1" x14ac:dyDescent="0.2">
      <c r="E6" s="566" t="str">
        <f>REP.title1</f>
        <v>STEAM FINAL TREND REPORT FOR 2009-2013</v>
      </c>
      <c r="F6" s="567"/>
      <c r="G6" s="567"/>
      <c r="H6" s="567"/>
      <c r="I6" s="567"/>
      <c r="J6" s="567"/>
      <c r="K6" s="567"/>
      <c r="L6" s="567"/>
      <c r="M6" s="567"/>
      <c r="N6" s="567"/>
      <c r="O6" s="567"/>
      <c r="P6" s="568"/>
      <c r="Q6" s="568"/>
      <c r="R6" s="568"/>
      <c r="S6" s="746" t="str">
        <f>"Financial Data Indexed to "&amp;MAX(REP.yearsrange)&amp;" Prices"</f>
        <v>Financial Data Indexed to 2013 Prices</v>
      </c>
      <c r="T6" s="747"/>
      <c r="U6" s="747"/>
      <c r="V6" s="747"/>
      <c r="W6" s="747"/>
      <c r="X6" s="748"/>
    </row>
    <row r="7" spans="1:26" ht="16.149999999999999" customHeight="1" thickBot="1" x14ac:dyDescent="0.25">
      <c r="E7" s="569" t="str">
        <f>REP.title2</f>
        <v>MORAY HIE</v>
      </c>
      <c r="F7" s="570"/>
      <c r="G7" s="570"/>
      <c r="H7" s="570"/>
      <c r="I7" s="571"/>
      <c r="J7" s="571"/>
      <c r="K7" s="571"/>
      <c r="L7" s="571"/>
      <c r="M7" s="571"/>
      <c r="N7" s="571"/>
      <c r="O7" s="572"/>
      <c r="P7" s="572"/>
      <c r="Q7" s="572"/>
      <c r="R7" s="572"/>
      <c r="S7" s="749"/>
      <c r="T7" s="750"/>
      <c r="U7" s="750"/>
      <c r="V7" s="750"/>
      <c r="W7" s="750"/>
      <c r="X7" s="751"/>
    </row>
    <row r="8" spans="1:26" ht="16.149999999999999" customHeight="1" thickTop="1" thickBot="1" x14ac:dyDescent="0.25">
      <c r="E8" s="250"/>
      <c r="F8" s="251"/>
      <c r="G8" s="251"/>
      <c r="H8" s="251"/>
      <c r="I8" s="251"/>
      <c r="J8" s="251"/>
      <c r="K8" s="251"/>
      <c r="L8" s="251"/>
      <c r="M8" s="251"/>
      <c r="N8" s="251"/>
      <c r="O8" s="250"/>
      <c r="P8" s="251"/>
      <c r="Q8" s="251"/>
      <c r="R8" s="251"/>
      <c r="S8" s="251"/>
      <c r="T8" s="251"/>
      <c r="U8" s="251"/>
      <c r="V8" s="251"/>
      <c r="W8" s="251"/>
      <c r="X8" s="252"/>
    </row>
    <row r="9" spans="1:26" s="132" customFormat="1" ht="16.149999999999999" customHeight="1" thickTop="1" x14ac:dyDescent="0.2">
      <c r="E9" s="740" t="str">
        <f>"Report Sections With Historic "&amp;S6</f>
        <v>Report Sections With Historic Financial Data Indexed to 2013 Prices</v>
      </c>
      <c r="F9" s="741"/>
      <c r="G9" s="741"/>
      <c r="H9" s="741"/>
      <c r="I9" s="741"/>
      <c r="J9" s="741"/>
      <c r="K9" s="741"/>
      <c r="L9" s="741"/>
      <c r="M9" s="741"/>
      <c r="N9" s="741"/>
      <c r="O9" s="741"/>
      <c r="P9" s="741"/>
      <c r="Q9" s="741"/>
      <c r="R9" s="741"/>
      <c r="S9" s="741"/>
      <c r="T9" s="741"/>
      <c r="U9" s="741"/>
      <c r="V9" s="741"/>
      <c r="W9" s="741"/>
      <c r="X9" s="742"/>
    </row>
    <row r="10" spans="1:26" s="132" customFormat="1" ht="16.149999999999999" customHeight="1" thickBot="1" x14ac:dyDescent="0.25">
      <c r="E10" s="743"/>
      <c r="F10" s="744"/>
      <c r="G10" s="744"/>
      <c r="H10" s="744"/>
      <c r="I10" s="744"/>
      <c r="J10" s="744"/>
      <c r="K10" s="744"/>
      <c r="L10" s="744"/>
      <c r="M10" s="744"/>
      <c r="N10" s="744"/>
      <c r="O10" s="744"/>
      <c r="P10" s="744"/>
      <c r="Q10" s="744"/>
      <c r="R10" s="744"/>
      <c r="S10" s="744"/>
      <c r="T10" s="744"/>
      <c r="U10" s="744"/>
      <c r="V10" s="744"/>
      <c r="W10" s="744"/>
      <c r="X10" s="745"/>
    </row>
    <row r="11" spans="1:26" s="132" customFormat="1" ht="16.149999999999999" customHeight="1" thickTop="1" thickBot="1" x14ac:dyDescent="0.25">
      <c r="E11" s="579" t="s">
        <v>171</v>
      </c>
      <c r="F11" s="588" t="s">
        <v>107</v>
      </c>
      <c r="G11" s="580"/>
      <c r="H11" s="580"/>
      <c r="I11" s="580"/>
      <c r="J11" s="580"/>
      <c r="K11" s="580"/>
      <c r="L11" s="587" t="s">
        <v>169</v>
      </c>
      <c r="M11" s="576"/>
      <c r="N11" s="576"/>
      <c r="O11" s="585" t="str">
        <f t="array" ref="O11:O24">IFERROR(INDEX(TYPE.choices,{1;2;3;4;5;6;7;8;9;10;11;12;13;14}),"")</f>
        <v>Total</v>
      </c>
      <c r="P11" s="580"/>
      <c r="Q11" s="580"/>
      <c r="R11" s="580"/>
      <c r="S11" s="580"/>
      <c r="T11" s="580"/>
      <c r="U11" s="580"/>
      <c r="V11" s="580"/>
      <c r="W11" s="580"/>
      <c r="X11" s="581"/>
    </row>
    <row r="12" spans="1:26" ht="16.149999999999999" customHeight="1" thickTop="1" thickBot="1" x14ac:dyDescent="0.25">
      <c r="E12" s="582"/>
      <c r="F12" s="588" t="s">
        <v>137</v>
      </c>
      <c r="G12" s="583"/>
      <c r="H12" s="583"/>
      <c r="I12" s="583"/>
      <c r="J12" s="583"/>
      <c r="K12" s="583"/>
      <c r="L12" s="582"/>
      <c r="M12" s="576"/>
      <c r="N12" s="576"/>
      <c r="O12" s="585" t="str">
        <v>Serviced Accommodation</v>
      </c>
      <c r="P12" s="583"/>
      <c r="Q12" s="583"/>
      <c r="R12" s="583"/>
      <c r="S12" s="583"/>
      <c r="T12" s="583"/>
      <c r="U12" s="583"/>
      <c r="V12" s="583"/>
      <c r="W12" s="583"/>
      <c r="X12" s="584"/>
    </row>
    <row r="13" spans="1:26" ht="16.149999999999999" customHeight="1" thickTop="1" thickBot="1" x14ac:dyDescent="0.25">
      <c r="E13" s="575"/>
      <c r="F13" s="588" t="s">
        <v>18</v>
      </c>
      <c r="G13" s="576"/>
      <c r="H13" s="576"/>
      <c r="I13" s="576"/>
      <c r="J13" s="576"/>
      <c r="K13" s="576"/>
      <c r="L13" s="575"/>
      <c r="M13" s="576"/>
      <c r="N13" s="576"/>
      <c r="O13" s="585" t="str">
        <v>Non-Serviced Accommodation</v>
      </c>
      <c r="P13" s="576"/>
      <c r="Q13" s="576"/>
      <c r="R13" s="576"/>
      <c r="S13" s="576"/>
      <c r="T13" s="576"/>
      <c r="U13" s="576"/>
      <c r="V13" s="576"/>
      <c r="W13" s="576"/>
      <c r="X13" s="577"/>
    </row>
    <row r="14" spans="1:26" ht="16.149999999999999" customHeight="1" thickTop="1" thickBot="1" x14ac:dyDescent="0.25">
      <c r="E14" s="575"/>
      <c r="F14" s="588" t="s">
        <v>108</v>
      </c>
      <c r="G14" s="576"/>
      <c r="H14" s="576"/>
      <c r="I14" s="576"/>
      <c r="J14" s="576"/>
      <c r="K14" s="576"/>
      <c r="L14" s="575"/>
      <c r="M14" s="576"/>
      <c r="N14" s="576"/>
      <c r="O14" s="585" t="str">
        <v>SFR</v>
      </c>
      <c r="P14" s="576"/>
      <c r="Q14" s="576"/>
      <c r="R14" s="576"/>
      <c r="S14" s="576"/>
      <c r="T14" s="576"/>
      <c r="U14" s="576"/>
      <c r="V14" s="576"/>
      <c r="W14" s="576"/>
      <c r="X14" s="577"/>
    </row>
    <row r="15" spans="1:26" ht="16.149999999999999" customHeight="1" thickTop="1" thickBot="1" x14ac:dyDescent="0.25">
      <c r="E15" s="575"/>
      <c r="F15" s="588"/>
      <c r="G15" s="576"/>
      <c r="H15" s="576"/>
      <c r="I15" s="576"/>
      <c r="J15" s="576"/>
      <c r="K15" s="576"/>
      <c r="L15" s="575"/>
      <c r="M15" s="576"/>
      <c r="N15" s="576"/>
      <c r="O15" s="585" t="str">
        <v>Staying Visitor</v>
      </c>
      <c r="P15" s="576"/>
      <c r="Q15" s="576"/>
      <c r="R15" s="576"/>
      <c r="S15" s="576"/>
      <c r="T15" s="576"/>
      <c r="U15" s="576"/>
      <c r="V15" s="576"/>
      <c r="W15" s="576"/>
      <c r="X15" s="577"/>
    </row>
    <row r="16" spans="1:26" ht="16.149999999999999" customHeight="1" thickTop="1" thickBot="1" x14ac:dyDescent="0.25">
      <c r="E16" s="575"/>
      <c r="F16" s="588"/>
      <c r="G16" s="576"/>
      <c r="H16" s="576"/>
      <c r="I16" s="576"/>
      <c r="J16" s="576"/>
      <c r="K16" s="576"/>
      <c r="L16" s="575"/>
      <c r="M16" s="576"/>
      <c r="N16" s="576"/>
      <c r="O16" s="585" t="str">
        <v>Day Visitor</v>
      </c>
      <c r="P16" s="576"/>
      <c r="Q16" s="576"/>
      <c r="R16" s="576"/>
      <c r="S16" s="576"/>
      <c r="T16" s="576"/>
      <c r="U16" s="576"/>
      <c r="V16" s="576"/>
      <c r="W16" s="576"/>
      <c r="X16" s="577"/>
      <c r="Y16" s="277"/>
      <c r="Z16" s="118" t="b">
        <f>K16&gt;1000000</f>
        <v>0</v>
      </c>
    </row>
    <row r="17" spans="4:24" ht="16.149999999999999" customHeight="1" thickTop="1" x14ac:dyDescent="0.2">
      <c r="E17" s="575"/>
      <c r="F17" s="588"/>
      <c r="G17" s="576"/>
      <c r="H17" s="576"/>
      <c r="I17" s="576"/>
      <c r="J17" s="576"/>
      <c r="K17" s="576"/>
      <c r="L17" s="575"/>
      <c r="M17" s="576"/>
      <c r="N17" s="576"/>
      <c r="O17" s="586" t="str">
        <v/>
      </c>
      <c r="P17" s="576"/>
      <c r="Q17" s="576"/>
      <c r="R17" s="576"/>
      <c r="S17" s="576"/>
      <c r="T17" s="576"/>
      <c r="U17" s="576"/>
      <c r="V17" s="576"/>
      <c r="W17" s="576"/>
      <c r="X17" s="577"/>
    </row>
    <row r="18" spans="4:24" ht="16.149999999999999" customHeight="1" x14ac:dyDescent="0.2">
      <c r="E18" s="575"/>
      <c r="F18" s="576"/>
      <c r="G18" s="576"/>
      <c r="H18" s="576"/>
      <c r="I18" s="576"/>
      <c r="J18" s="576"/>
      <c r="K18" s="576"/>
      <c r="L18" s="575"/>
      <c r="M18" s="576"/>
      <c r="N18" s="576"/>
      <c r="O18" s="586" t="str">
        <v/>
      </c>
      <c r="P18" s="576"/>
      <c r="Q18" s="576"/>
      <c r="R18" s="576"/>
      <c r="S18" s="576"/>
      <c r="T18" s="576"/>
      <c r="U18" s="576"/>
      <c r="V18" s="576"/>
      <c r="W18" s="576"/>
      <c r="X18" s="577"/>
    </row>
    <row r="19" spans="4:24" ht="16.149999999999999" customHeight="1" thickBot="1" x14ac:dyDescent="0.25">
      <c r="E19" s="575"/>
      <c r="F19" s="576"/>
      <c r="G19" s="576"/>
      <c r="H19" s="576"/>
      <c r="I19" s="576"/>
      <c r="J19" s="576"/>
      <c r="K19" s="576"/>
      <c r="L19" s="575"/>
      <c r="M19" s="576"/>
      <c r="N19" s="576"/>
      <c r="O19" s="586" t="str">
        <v/>
      </c>
      <c r="P19" s="576"/>
      <c r="Q19" s="576"/>
      <c r="R19" s="576"/>
      <c r="S19" s="576"/>
      <c r="T19" s="576"/>
      <c r="U19" s="576"/>
      <c r="V19" s="576"/>
      <c r="W19" s="576"/>
      <c r="X19" s="577"/>
    </row>
    <row r="20" spans="4:24" ht="16.149999999999999" customHeight="1" thickTop="1" thickBot="1" x14ac:dyDescent="0.25">
      <c r="E20" s="579" t="s">
        <v>172</v>
      </c>
      <c r="F20" s="593" t="str">
        <f>"Indexation to: "&amp;MAX(REP.yearsrange)</f>
        <v>Indexation to: 2013</v>
      </c>
      <c r="G20" s="590"/>
      <c r="H20" s="576"/>
      <c r="I20" s="576"/>
      <c r="J20" s="576"/>
      <c r="K20" s="576"/>
      <c r="L20" s="575"/>
      <c r="M20" s="576"/>
      <c r="N20" s="576"/>
      <c r="O20" s="586" t="str">
        <v/>
      </c>
      <c r="P20" s="576"/>
      <c r="Q20" s="576"/>
      <c r="R20" s="576"/>
      <c r="S20" s="576"/>
      <c r="T20" s="576"/>
      <c r="U20" s="576"/>
      <c r="V20" s="576"/>
      <c r="W20" s="576"/>
      <c r="X20" s="577"/>
    </row>
    <row r="21" spans="4:24" ht="16.149999999999999" customHeight="1" thickTop="1" thickBot="1" x14ac:dyDescent="0.25">
      <c r="E21" s="592">
        <f t="array" ref="E21:E32">IF(REP.yearsrange="","",REP.yearsrange)</f>
        <v>2009</v>
      </c>
      <c r="F21" s="589">
        <f t="array" ref="F21:F32">IF(REP.indexationfactors="","",REP.indexationfactors)</f>
        <v>1</v>
      </c>
      <c r="G21" s="590"/>
      <c r="H21" s="576"/>
      <c r="I21" s="576"/>
      <c r="J21" s="576"/>
      <c r="K21" s="576"/>
      <c r="L21" s="575"/>
      <c r="M21" s="576"/>
      <c r="N21" s="576"/>
      <c r="O21" s="586" t="str">
        <v/>
      </c>
      <c r="P21" s="576"/>
      <c r="Q21" s="576"/>
      <c r="R21" s="576"/>
      <c r="S21" s="576"/>
      <c r="T21" s="576"/>
      <c r="U21" s="576"/>
      <c r="V21" s="576"/>
      <c r="W21" s="576"/>
      <c r="X21" s="577"/>
    </row>
    <row r="22" spans="4:24" ht="16.149999999999999" customHeight="1" thickTop="1" thickBot="1" x14ac:dyDescent="0.25">
      <c r="E22" s="592">
        <v>2010</v>
      </c>
      <c r="F22" s="589">
        <v>1</v>
      </c>
      <c r="G22" s="590"/>
      <c r="H22" s="576"/>
      <c r="I22" s="576"/>
      <c r="J22" s="576"/>
      <c r="K22" s="576"/>
      <c r="L22" s="575"/>
      <c r="M22" s="576"/>
      <c r="N22" s="576"/>
      <c r="O22" s="586" t="str">
        <v/>
      </c>
      <c r="P22" s="576"/>
      <c r="Q22" s="576"/>
      <c r="R22" s="576"/>
      <c r="S22" s="576"/>
      <c r="T22" s="576"/>
      <c r="U22" s="576"/>
      <c r="V22" s="576"/>
      <c r="W22" s="576"/>
      <c r="X22" s="577"/>
    </row>
    <row r="23" spans="4:24" ht="16.149999999999999" customHeight="1" thickTop="1" thickBot="1" x14ac:dyDescent="0.25">
      <c r="E23" s="592">
        <v>2011</v>
      </c>
      <c r="F23" s="589">
        <v>1</v>
      </c>
      <c r="G23" s="590"/>
      <c r="H23" s="576"/>
      <c r="I23" s="576"/>
      <c r="J23" s="576"/>
      <c r="K23" s="576"/>
      <c r="L23" s="575"/>
      <c r="M23" s="576"/>
      <c r="N23" s="576"/>
      <c r="O23" s="586" t="str">
        <v/>
      </c>
      <c r="P23" s="576"/>
      <c r="Q23" s="576"/>
      <c r="R23" s="576"/>
      <c r="S23" s="576"/>
      <c r="T23" s="576"/>
      <c r="U23" s="576"/>
      <c r="V23" s="576"/>
      <c r="W23" s="576"/>
      <c r="X23" s="577"/>
    </row>
    <row r="24" spans="4:24" ht="16.149999999999999" customHeight="1" thickTop="1" thickBot="1" x14ac:dyDescent="0.25">
      <c r="E24" s="592">
        <v>2012</v>
      </c>
      <c r="F24" s="589">
        <v>1</v>
      </c>
      <c r="G24" s="590"/>
      <c r="H24" s="576"/>
      <c r="I24" s="576"/>
      <c r="J24" s="576"/>
      <c r="K24" s="576"/>
      <c r="L24" s="575"/>
      <c r="M24" s="576"/>
      <c r="N24" s="576"/>
      <c r="O24" s="586" t="str">
        <v/>
      </c>
      <c r="P24" s="576"/>
      <c r="Q24" s="576"/>
      <c r="R24" s="576"/>
      <c r="S24" s="576"/>
      <c r="T24" s="576"/>
      <c r="U24" s="576"/>
      <c r="V24" s="576"/>
      <c r="W24" s="576"/>
      <c r="X24" s="577"/>
    </row>
    <row r="25" spans="4:24" ht="16.149999999999999" customHeight="1" thickTop="1" thickBot="1" x14ac:dyDescent="0.25">
      <c r="E25" s="592">
        <v>2013</v>
      </c>
      <c r="F25" s="589">
        <v>1</v>
      </c>
      <c r="G25" s="590"/>
      <c r="H25" s="576"/>
      <c r="I25" s="576"/>
      <c r="J25" s="576"/>
      <c r="K25" s="576"/>
      <c r="L25" s="576"/>
      <c r="M25" s="576"/>
      <c r="N25" s="576"/>
      <c r="O25" s="576"/>
      <c r="P25" s="576"/>
      <c r="Q25" s="576"/>
      <c r="R25" s="576"/>
      <c r="S25" s="576"/>
      <c r="T25" s="576"/>
      <c r="U25" s="576"/>
      <c r="V25" s="576"/>
      <c r="W25" s="576"/>
      <c r="X25" s="577"/>
    </row>
    <row r="26" spans="4:24" ht="16.149999999999999" customHeight="1" thickTop="1" thickBot="1" x14ac:dyDescent="0.25">
      <c r="E26" s="592" t="str">
        <v/>
      </c>
      <c r="F26" s="589">
        <v>1</v>
      </c>
      <c r="G26" s="590"/>
      <c r="H26" s="576"/>
      <c r="I26" s="576"/>
      <c r="J26" s="576"/>
      <c r="K26" s="576"/>
      <c r="L26" s="576"/>
      <c r="M26" s="576"/>
      <c r="N26" s="576"/>
      <c r="O26" s="576"/>
      <c r="P26" s="576"/>
      <c r="Q26" s="576"/>
      <c r="R26" s="576"/>
      <c r="S26" s="576"/>
      <c r="T26" s="576"/>
      <c r="U26" s="576"/>
      <c r="V26" s="576"/>
      <c r="W26" s="576"/>
      <c r="X26" s="577"/>
    </row>
    <row r="27" spans="4:24" ht="16.149999999999999" customHeight="1" thickTop="1" thickBot="1" x14ac:dyDescent="0.25">
      <c r="D27" s="203" t="e">
        <f ca="1">"'"&amp;$A$1&amp;"'!"&amp;CELL("address",#REF!)&amp;":"&amp;CELL("address",OFFSET(#REF!,0,COUNT(REP.yearsrange)-1))</f>
        <v>#REF!</v>
      </c>
      <c r="E27" s="592" t="str">
        <v/>
      </c>
      <c r="F27" s="589">
        <v>1</v>
      </c>
      <c r="G27" s="590"/>
      <c r="H27" s="576"/>
      <c r="I27" s="576"/>
      <c r="J27" s="576"/>
      <c r="K27" s="576"/>
      <c r="L27" s="576"/>
      <c r="M27" s="576"/>
      <c r="N27" s="576"/>
      <c r="O27" s="576"/>
      <c r="P27" s="576"/>
      <c r="Q27" s="576"/>
      <c r="R27" s="576"/>
      <c r="S27" s="576"/>
      <c r="T27" s="576"/>
      <c r="U27" s="576"/>
      <c r="V27" s="576"/>
      <c r="W27" s="576"/>
      <c r="X27" s="577"/>
    </row>
    <row r="28" spans="4:24" ht="16.149999999999999" customHeight="1" thickTop="1" thickBot="1" x14ac:dyDescent="0.25">
      <c r="D28" s="203" t="e">
        <f ca="1">"'"&amp;$A$1&amp;"'!"&amp;CELL("address",#REF!)&amp;":"&amp;CELL("address",OFFSET(#REF!,0,COUNT(REP.yearsrange)-1))</f>
        <v>#REF!</v>
      </c>
      <c r="E28" s="591" t="str">
        <v/>
      </c>
      <c r="F28" s="589">
        <v>1</v>
      </c>
      <c r="G28" s="590"/>
      <c r="H28" s="576"/>
      <c r="I28" s="576"/>
      <c r="J28" s="576"/>
      <c r="K28" s="576"/>
      <c r="L28" s="576"/>
      <c r="M28" s="576"/>
      <c r="N28" s="576"/>
      <c r="O28" s="576"/>
      <c r="P28" s="576"/>
      <c r="Q28" s="576"/>
      <c r="R28" s="576"/>
      <c r="S28" s="576"/>
      <c r="T28" s="576"/>
      <c r="U28" s="576"/>
      <c r="V28" s="576"/>
      <c r="W28" s="576"/>
      <c r="X28" s="577"/>
    </row>
    <row r="29" spans="4:24" ht="16.149999999999999" customHeight="1" thickTop="1" thickBot="1" x14ac:dyDescent="0.25">
      <c r="D29" s="203" t="e">
        <f ca="1">"'"&amp;$A$1&amp;"'!"&amp;CELL("address",#REF!)&amp;":"&amp;CELL("address",OFFSET(#REF!,0,COUNT(REP.yearsrange)-1))</f>
        <v>#REF!</v>
      </c>
      <c r="E29" s="591" t="str">
        <v/>
      </c>
      <c r="F29" s="589">
        <v>1</v>
      </c>
      <c r="G29" s="590"/>
      <c r="H29" s="576"/>
      <c r="I29" s="576"/>
      <c r="J29" s="576"/>
      <c r="K29" s="576"/>
      <c r="L29" s="576"/>
      <c r="M29" s="576"/>
      <c r="N29" s="576"/>
      <c r="O29" s="576"/>
      <c r="P29" s="576"/>
      <c r="Q29" s="576"/>
      <c r="R29" s="576"/>
      <c r="S29" s="576"/>
      <c r="T29" s="576"/>
      <c r="U29" s="576"/>
      <c r="V29" s="576"/>
      <c r="W29" s="576"/>
      <c r="X29" s="577"/>
    </row>
    <row r="30" spans="4:24" ht="16.149999999999999" customHeight="1" thickTop="1" thickBot="1" x14ac:dyDescent="0.25">
      <c r="D30" s="203" t="e">
        <f ca="1">"'"&amp;$A$1&amp;"'!"&amp;CELL("address",#REF!)&amp;":"&amp;CELL("address",OFFSET(#REF!,0,COUNT(REP.yearsrange)-1))</f>
        <v>#REF!</v>
      </c>
      <c r="E30" s="591" t="str">
        <v/>
      </c>
      <c r="F30" s="589">
        <v>1</v>
      </c>
      <c r="G30" s="590"/>
      <c r="H30" s="576"/>
      <c r="I30" s="576"/>
      <c r="J30" s="576"/>
      <c r="K30" s="576"/>
      <c r="L30" s="576"/>
      <c r="M30" s="576"/>
      <c r="N30" s="576"/>
      <c r="O30" s="576"/>
      <c r="P30" s="576"/>
      <c r="Q30" s="576"/>
      <c r="R30" s="576"/>
      <c r="S30" s="576"/>
      <c r="T30" s="576"/>
      <c r="U30" s="576"/>
      <c r="V30" s="576"/>
      <c r="W30" s="576"/>
      <c r="X30" s="577"/>
    </row>
    <row r="31" spans="4:24" ht="16.149999999999999" customHeight="1" thickTop="1" thickBot="1" x14ac:dyDescent="0.25">
      <c r="D31" s="203" t="e">
        <f ca="1">"'"&amp;$A$1&amp;"'!"&amp;CELL("address",#REF!)&amp;":"&amp;CELL("address",OFFSET(#REF!,0,COUNT(REP.yearsrange)-1))</f>
        <v>#REF!</v>
      </c>
      <c r="E31" s="591" t="str">
        <v/>
      </c>
      <c r="F31" s="589">
        <v>1</v>
      </c>
      <c r="G31" s="590"/>
      <c r="H31" s="576"/>
      <c r="I31" s="576"/>
      <c r="J31" s="576"/>
      <c r="K31" s="576"/>
      <c r="L31" s="576"/>
      <c r="M31" s="576"/>
      <c r="N31" s="576"/>
      <c r="O31" s="576"/>
      <c r="P31" s="576"/>
      <c r="Q31" s="576"/>
      <c r="R31" s="576"/>
      <c r="S31" s="576"/>
      <c r="T31" s="576"/>
      <c r="U31" s="576"/>
      <c r="V31" s="576"/>
      <c r="W31" s="576"/>
      <c r="X31" s="577"/>
    </row>
    <row r="32" spans="4:24" ht="16.149999999999999" customHeight="1" thickTop="1" x14ac:dyDescent="0.2">
      <c r="D32" s="203" t="e">
        <f ca="1">"'"&amp;$A$1&amp;"'!"&amp;CELL("address",#REF!)&amp;":"&amp;CELL("address",OFFSET(#REF!,0,COUNT(REP.yearsrange)-1))</f>
        <v>#REF!</v>
      </c>
      <c r="E32" s="591" t="str">
        <v/>
      </c>
      <c r="F32" s="589">
        <v>1</v>
      </c>
      <c r="G32" s="590"/>
      <c r="H32" s="576"/>
      <c r="I32" s="576"/>
      <c r="J32" s="576"/>
      <c r="K32" s="576"/>
      <c r="L32" s="576"/>
      <c r="M32" s="576"/>
      <c r="N32" s="576"/>
      <c r="O32" s="576"/>
      <c r="P32" s="576"/>
      <c r="Q32" s="576"/>
      <c r="R32" s="576"/>
      <c r="S32" s="576"/>
      <c r="T32" s="576"/>
      <c r="U32" s="576"/>
      <c r="V32" s="576"/>
      <c r="W32" s="576"/>
      <c r="X32" s="577"/>
    </row>
    <row r="33" spans="4:24" ht="16.149999999999999" customHeight="1" x14ac:dyDescent="0.2">
      <c r="D33" s="203"/>
      <c r="E33" s="575"/>
      <c r="F33" s="576"/>
      <c r="G33" s="576"/>
      <c r="H33" s="576"/>
      <c r="I33" s="576"/>
      <c r="J33" s="576"/>
      <c r="K33" s="576"/>
      <c r="L33" s="576"/>
      <c r="M33" s="576"/>
      <c r="N33" s="576"/>
      <c r="O33" s="576"/>
      <c r="P33" s="576"/>
      <c r="Q33" s="576"/>
      <c r="R33" s="576"/>
      <c r="S33" s="576"/>
      <c r="T33" s="576"/>
      <c r="U33" s="576"/>
      <c r="V33" s="576"/>
      <c r="W33" s="576"/>
      <c r="X33" s="577"/>
    </row>
    <row r="34" spans="4:24" ht="16.149999999999999" customHeight="1" x14ac:dyDescent="0.2">
      <c r="D34" s="203"/>
      <c r="E34" s="575"/>
      <c r="F34" s="576"/>
      <c r="G34" s="576"/>
      <c r="H34" s="576"/>
      <c r="I34" s="576"/>
      <c r="J34" s="576"/>
      <c r="K34" s="576"/>
      <c r="L34" s="576"/>
      <c r="M34" s="576"/>
      <c r="N34" s="576"/>
      <c r="O34" s="576"/>
      <c r="P34" s="576"/>
      <c r="Q34" s="576"/>
      <c r="R34" s="576"/>
      <c r="S34" s="576"/>
      <c r="T34" s="576"/>
      <c r="U34" s="576"/>
      <c r="V34" s="576"/>
      <c r="W34" s="576"/>
      <c r="X34" s="577"/>
    </row>
    <row r="35" spans="4:24" ht="16.149999999999999" customHeight="1" x14ac:dyDescent="0.2">
      <c r="D35" s="203"/>
      <c r="E35" s="575"/>
      <c r="F35" s="576"/>
      <c r="G35" s="576"/>
      <c r="H35" s="576"/>
      <c r="I35" s="576"/>
      <c r="J35" s="576"/>
      <c r="K35" s="576"/>
      <c r="L35" s="576"/>
      <c r="M35" s="576"/>
      <c r="N35" s="576"/>
      <c r="O35" s="576"/>
      <c r="P35" s="576"/>
      <c r="Q35" s="576"/>
      <c r="R35" s="576"/>
      <c r="S35" s="576"/>
      <c r="T35" s="576"/>
      <c r="U35" s="576"/>
      <c r="V35" s="576"/>
      <c r="W35" s="576"/>
      <c r="X35" s="577"/>
    </row>
    <row r="36" spans="4:24" ht="16.149999999999999" customHeight="1" thickBot="1" x14ac:dyDescent="0.25">
      <c r="D36" s="203"/>
      <c r="E36" s="573"/>
      <c r="F36" s="574"/>
      <c r="G36" s="574"/>
      <c r="H36" s="574"/>
      <c r="I36" s="574"/>
      <c r="J36" s="574"/>
      <c r="K36" s="574"/>
      <c r="L36" s="574"/>
      <c r="M36" s="574"/>
      <c r="N36" s="574"/>
      <c r="O36" s="574"/>
      <c r="P36" s="574"/>
      <c r="Q36" s="574"/>
      <c r="R36" s="574"/>
      <c r="S36" s="574"/>
      <c r="T36" s="574"/>
      <c r="U36" s="574"/>
      <c r="V36" s="574"/>
      <c r="W36" s="574"/>
      <c r="X36" s="578"/>
    </row>
    <row r="37" spans="4:24" s="181" customFormat="1" ht="16.149999999999999" customHeight="1" thickTop="1" thickBot="1" x14ac:dyDescent="0.2">
      <c r="D37" s="177"/>
      <c r="E37" s="178" t="str">
        <f>REP.footer1</f>
        <v>This report is copyright © Global Tourism Solutions (UK) Ltd 2014</v>
      </c>
      <c r="F37" s="179"/>
      <c r="G37" s="179"/>
      <c r="H37" s="179"/>
      <c r="I37" s="179"/>
      <c r="J37" s="179"/>
      <c r="K37" s="179"/>
      <c r="L37" s="179"/>
      <c r="M37" s="179"/>
      <c r="N37" s="179"/>
      <c r="O37" s="179"/>
      <c r="P37" s="179"/>
      <c r="Q37" s="179"/>
      <c r="R37" s="179"/>
      <c r="S37" s="179"/>
      <c r="T37" s="179"/>
      <c r="U37" s="179"/>
      <c r="V37" s="179"/>
      <c r="W37" s="179"/>
      <c r="X37" s="180" t="str">
        <f>REP.footer2</f>
        <v>Report Prepared by: Alison Tipler. Date of Issue: 11/04/14</v>
      </c>
    </row>
    <row r="38" spans="4:24" ht="16.149999999999999" customHeight="1" thickTop="1" x14ac:dyDescent="0.2"/>
    <row r="39" spans="4:24" ht="16.149999999999999" customHeight="1" x14ac:dyDescent="0.2">
      <c r="G39" s="247"/>
      <c r="H39" s="247"/>
      <c r="I39" s="247"/>
      <c r="J39" s="247"/>
      <c r="K39" s="247"/>
      <c r="L39" s="247"/>
      <c r="M39" s="247"/>
      <c r="N39" s="247"/>
      <c r="O39" s="247"/>
      <c r="P39" s="247"/>
      <c r="Q39" s="247"/>
      <c r="R39" s="247"/>
      <c r="S39" s="247"/>
      <c r="T39" s="247"/>
      <c r="U39" s="247"/>
      <c r="V39" s="247"/>
    </row>
    <row r="40" spans="4:24" ht="16.149999999999999" customHeight="1" x14ac:dyDescent="0.2">
      <c r="G40" s="247"/>
      <c r="H40" s="247"/>
      <c r="I40" s="247"/>
      <c r="J40" s="247"/>
      <c r="K40" s="247"/>
      <c r="L40" s="247"/>
      <c r="M40" s="247"/>
      <c r="N40" s="247"/>
      <c r="O40" s="247"/>
      <c r="P40" s="247"/>
      <c r="Q40" s="247"/>
      <c r="R40" s="247"/>
      <c r="S40" s="247"/>
      <c r="T40" s="247"/>
      <c r="U40" s="247"/>
      <c r="V40" s="247"/>
    </row>
    <row r="69" spans="7:23" ht="16.149999999999999" customHeight="1" x14ac:dyDescent="0.2">
      <c r="G69" s="118" t="s">
        <v>44</v>
      </c>
      <c r="H69" s="118" t="s">
        <v>44</v>
      </c>
      <c r="J69" s="118" t="s">
        <v>49</v>
      </c>
      <c r="K69" s="118" t="s">
        <v>49</v>
      </c>
      <c r="M69" s="118" t="s">
        <v>19</v>
      </c>
      <c r="N69" s="118" t="s">
        <v>19</v>
      </c>
      <c r="P69" s="118" t="s">
        <v>97</v>
      </c>
      <c r="S69" s="118" t="s">
        <v>73</v>
      </c>
      <c r="T69" s="118" t="s">
        <v>73</v>
      </c>
      <c r="V69" s="118" t="s">
        <v>55</v>
      </c>
      <c r="W69" s="118" t="s">
        <v>55</v>
      </c>
    </row>
  </sheetData>
  <sheetProtection algorithmName="SHA-512" hashValue="ziRPNoP0pxExiTLuXFKPRByp787Md52U6uzl3sCirAcEtGjnKh0cZnn/7VNq414QSVC0ERMG+Z2u8tCcsC0zzw==" saltValue="1KgyssMOnMwRwnCR2/Lv+Q==" spinCount="100000" sheet="1" objects="1" scenarios="1"/>
  <mergeCells count="2">
    <mergeCell ref="S6:X7"/>
    <mergeCell ref="E9:X10"/>
  </mergeCells>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Client03">
    <tabColor theme="4" tint="-0.499984740745262"/>
    <outlinePr showOutlineSymbols="0"/>
    <pageSetUpPr autoPageBreaks="0" fitToPage="1"/>
  </sheetPr>
  <dimension ref="A1:X69"/>
  <sheetViews>
    <sheetView showGridLines="0" showRowColHeaders="0" showZeros="0" tabSelected="1" showOutlineSymbols="0" topLeftCell="A2" zoomScaleNormal="100" workbookViewId="0">
      <pane ySplit="6" topLeftCell="A14" activePane="bottomLeft" state="frozen"/>
      <selection activeCell="M48" sqref="M48"/>
      <selection pane="bottomLeft" activeCell="E6" sqref="E6"/>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4.85546875" style="118"/>
    <col min="26" max="26" width="8.42578125" style="118" bestFit="1" customWidth="1"/>
    <col min="27" max="16384" width="4.85546875" style="118"/>
  </cols>
  <sheetData>
    <row r="1" spans="1:24" ht="16.149999999999999" hidden="1" customHeight="1" x14ac:dyDescent="0.2">
      <c r="A1" s="117" t="str">
        <f ca="1">MID(CELL("filename",A1),FIND("]",CELL("filename",A1))+1,255)</f>
        <v>HOME</v>
      </c>
      <c r="E1" s="120"/>
      <c r="F1" s="121"/>
      <c r="G1" s="121"/>
      <c r="H1" s="121"/>
      <c r="I1" s="121"/>
      <c r="J1" s="121"/>
      <c r="K1" s="121"/>
      <c r="L1" s="121"/>
      <c r="M1" s="121"/>
      <c r="N1" s="121"/>
      <c r="O1" s="121"/>
      <c r="P1" s="121"/>
      <c r="Q1" s="121"/>
      <c r="R1" s="121"/>
      <c r="S1" s="121"/>
      <c r="T1" s="121"/>
      <c r="U1" s="121"/>
      <c r="V1" s="121"/>
      <c r="W1" s="121"/>
      <c r="X1" s="122"/>
    </row>
    <row r="2" spans="1:24"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4" ht="26.45" customHeight="1" x14ac:dyDescent="0.2">
      <c r="E3" s="126"/>
      <c r="F3" s="127"/>
      <c r="G3" s="127"/>
      <c r="H3" s="127"/>
      <c r="I3" s="127"/>
      <c r="J3" s="127"/>
      <c r="K3" s="127"/>
      <c r="L3" s="127"/>
      <c r="M3" s="127"/>
      <c r="N3" s="127"/>
      <c r="O3" s="127"/>
      <c r="P3" s="127"/>
      <c r="Q3" s="127"/>
      <c r="R3" s="127"/>
      <c r="S3" s="127"/>
      <c r="T3" s="127"/>
      <c r="U3" s="127"/>
      <c r="V3" s="127"/>
      <c r="W3" s="127"/>
      <c r="X3" s="128"/>
    </row>
    <row r="4" spans="1:24" ht="26.45" customHeight="1" x14ac:dyDescent="0.2">
      <c r="E4" s="211"/>
      <c r="F4" s="212"/>
      <c r="G4" s="212"/>
      <c r="H4" s="212"/>
      <c r="I4" s="212"/>
      <c r="J4" s="212"/>
      <c r="K4" s="212"/>
      <c r="L4" s="212"/>
      <c r="M4" s="212"/>
      <c r="N4" s="212"/>
      <c r="O4" s="212"/>
      <c r="P4" s="212"/>
      <c r="Q4" s="212"/>
      <c r="R4" s="212"/>
      <c r="S4" s="212"/>
      <c r="T4" s="212"/>
      <c r="U4" s="212"/>
      <c r="V4" s="212"/>
      <c r="W4" s="212"/>
      <c r="X4" s="213"/>
    </row>
    <row r="5" spans="1:24"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4" ht="16.149999999999999" customHeight="1" thickTop="1" x14ac:dyDescent="0.2">
      <c r="E6" s="188" t="str">
        <f>REP.title1</f>
        <v>STEAM FINAL TREND REPORT FOR 2009-2013</v>
      </c>
      <c r="F6" s="189"/>
      <c r="G6" s="189"/>
      <c r="H6" s="189"/>
      <c r="I6" s="189"/>
      <c r="J6" s="189"/>
      <c r="K6" s="189"/>
      <c r="L6" s="189"/>
      <c r="M6" s="316"/>
      <c r="N6" s="765" t="str">
        <f>"All Financial Outputs "&amp;IF(REP.indexed="YES","Indexed","in Historic Prices")&amp;CHAR(10)&amp;IF(REP.indexed="YES","Indexation Years: "&amp;FOCUSYEAR&amp;"( Comparative Headlines) "&amp;CHAR(10)&amp;MAX(REP.yearsrange)&amp;" (all other sections)","")</f>
        <v xml:space="preserve">All Financial Outputs in Historic Prices
</v>
      </c>
      <c r="O6" s="766"/>
      <c r="P6" s="766"/>
      <c r="Q6" s="766"/>
      <c r="R6" s="767"/>
      <c r="S6" s="755" t="s">
        <v>131</v>
      </c>
      <c r="T6" s="755"/>
      <c r="U6" s="755"/>
      <c r="V6" s="755"/>
      <c r="W6" s="755"/>
      <c r="X6" s="756"/>
    </row>
    <row r="7" spans="1:24" ht="16.149999999999999" customHeight="1" thickBot="1" x14ac:dyDescent="0.25">
      <c r="E7" s="317" t="str">
        <f>REP.title2</f>
        <v>MORAY HIE</v>
      </c>
      <c r="F7" s="189"/>
      <c r="G7" s="189"/>
      <c r="H7" s="189"/>
      <c r="I7" s="318"/>
      <c r="J7" s="318"/>
      <c r="K7" s="318"/>
      <c r="L7" s="189"/>
      <c r="M7" s="319"/>
      <c r="N7" s="768"/>
      <c r="O7" s="769"/>
      <c r="P7" s="769"/>
      <c r="Q7" s="769"/>
      <c r="R7" s="770"/>
      <c r="S7" s="757"/>
      <c r="T7" s="757"/>
      <c r="U7" s="757"/>
      <c r="V7" s="757"/>
      <c r="W7" s="757"/>
      <c r="X7" s="758"/>
    </row>
    <row r="8" spans="1:24" ht="16.149999999999999" customHeight="1" thickTop="1" thickBot="1" x14ac:dyDescent="0.25">
      <c r="E8" s="752" t="s">
        <v>129</v>
      </c>
      <c r="F8" s="753"/>
      <c r="G8" s="753"/>
      <c r="H8" s="753"/>
      <c r="I8" s="753"/>
      <c r="J8" s="753"/>
      <c r="K8" s="753"/>
      <c r="L8" s="753"/>
      <c r="M8" s="753"/>
      <c r="N8" s="753"/>
      <c r="O8" s="753"/>
      <c r="P8" s="753"/>
      <c r="Q8" s="753"/>
      <c r="R8" s="753"/>
      <c r="S8" s="753"/>
      <c r="T8" s="753"/>
      <c r="U8" s="753"/>
      <c r="V8" s="753"/>
      <c r="W8" s="753"/>
      <c r="X8" s="754"/>
    </row>
    <row r="9" spans="1:24" ht="16.149999999999999" customHeight="1" thickTop="1" x14ac:dyDescent="0.2">
      <c r="E9" s="762" t="s">
        <v>128</v>
      </c>
      <c r="F9" s="763"/>
      <c r="G9" s="763"/>
      <c r="H9" s="763"/>
      <c r="I9" s="763"/>
      <c r="J9" s="763"/>
      <c r="K9" s="763"/>
      <c r="L9" s="763"/>
      <c r="M9" s="763"/>
      <c r="N9" s="763"/>
      <c r="O9" s="763"/>
      <c r="P9" s="763"/>
      <c r="Q9" s="763"/>
      <c r="R9" s="763"/>
      <c r="S9" s="763"/>
      <c r="T9" s="763"/>
      <c r="U9" s="763"/>
      <c r="V9" s="763"/>
      <c r="W9" s="763"/>
      <c r="X9" s="764"/>
    </row>
    <row r="10" spans="1:24" s="132" customFormat="1" ht="16.149999999999999" customHeight="1" x14ac:dyDescent="0.2">
      <c r="E10" s="320"/>
      <c r="F10" s="321"/>
      <c r="G10" s="322"/>
      <c r="H10" s="322"/>
      <c r="I10" s="322"/>
      <c r="J10" s="322"/>
      <c r="K10" s="322"/>
      <c r="L10" s="322"/>
      <c r="M10" s="322"/>
      <c r="N10" s="322"/>
      <c r="O10" s="322"/>
      <c r="P10" s="323"/>
      <c r="Q10" s="323"/>
      <c r="R10" s="323"/>
      <c r="S10" s="321"/>
      <c r="T10" s="321"/>
      <c r="U10" s="321"/>
      <c r="V10" s="323"/>
      <c r="W10" s="323"/>
      <c r="X10" s="324"/>
    </row>
    <row r="11" spans="1:24" s="132" customFormat="1" ht="16.149999999999999" customHeight="1" x14ac:dyDescent="0.2">
      <c r="E11" s="317"/>
      <c r="F11" s="318"/>
      <c r="G11" s="318"/>
      <c r="H11" s="318"/>
      <c r="I11" s="318"/>
      <c r="J11" s="318"/>
      <c r="K11" s="318"/>
      <c r="L11" s="318"/>
      <c r="M11" s="323"/>
      <c r="N11" s="323"/>
      <c r="O11" s="323"/>
      <c r="P11" s="323"/>
      <c r="Q11" s="323"/>
      <c r="R11" s="323"/>
      <c r="S11" s="321"/>
      <c r="T11" s="321"/>
      <c r="U11" s="321"/>
      <c r="V11" s="323"/>
      <c r="W11" s="323"/>
      <c r="X11" s="324"/>
    </row>
    <row r="12" spans="1:24" s="132" customFormat="1" ht="16.149999999999999" customHeight="1" x14ac:dyDescent="0.2">
      <c r="E12" s="317"/>
      <c r="F12" s="318"/>
      <c r="G12" s="318"/>
      <c r="H12" s="318"/>
      <c r="I12" s="318"/>
      <c r="J12" s="318"/>
      <c r="K12" s="318"/>
      <c r="L12" s="318"/>
      <c r="M12" s="323"/>
      <c r="N12" s="323"/>
      <c r="O12" s="323"/>
      <c r="P12" s="323"/>
      <c r="Q12" s="323"/>
      <c r="R12" s="323"/>
      <c r="S12" s="321"/>
      <c r="T12" s="321"/>
      <c r="U12" s="321"/>
      <c r="V12" s="323"/>
      <c r="W12" s="323"/>
      <c r="X12" s="324"/>
    </row>
    <row r="13" spans="1:24" ht="16.149999999999999" customHeight="1" x14ac:dyDescent="0.2">
      <c r="E13" s="305"/>
      <c r="F13" s="189"/>
      <c r="G13" s="325"/>
      <c r="H13" s="325"/>
      <c r="I13" s="326"/>
      <c r="J13" s="325"/>
      <c r="K13" s="325"/>
      <c r="L13" s="326"/>
      <c r="M13" s="325"/>
      <c r="N13" s="325"/>
      <c r="O13" s="326"/>
      <c r="P13" s="325"/>
      <c r="Q13" s="325"/>
      <c r="R13" s="326"/>
      <c r="S13" s="325"/>
      <c r="T13" s="325"/>
      <c r="U13" s="326"/>
      <c r="V13" s="325"/>
      <c r="W13" s="325"/>
      <c r="X13" s="327"/>
    </row>
    <row r="14" spans="1:24" ht="16.149999999999999" customHeight="1" x14ac:dyDescent="0.2">
      <c r="E14" s="328"/>
      <c r="F14" s="329"/>
      <c r="G14" s="330"/>
      <c r="H14" s="330"/>
      <c r="I14" s="331"/>
      <c r="J14" s="330"/>
      <c r="K14" s="330"/>
      <c r="L14" s="331"/>
      <c r="M14" s="330"/>
      <c r="N14" s="330"/>
      <c r="O14" s="331"/>
      <c r="P14" s="330"/>
      <c r="Q14" s="330"/>
      <c r="R14" s="331"/>
      <c r="S14" s="330"/>
      <c r="T14" s="330"/>
      <c r="U14" s="331"/>
      <c r="V14" s="330"/>
      <c r="W14" s="330"/>
      <c r="X14" s="332"/>
    </row>
    <row r="15" spans="1:24" ht="16.149999999999999" customHeight="1" x14ac:dyDescent="0.2">
      <c r="E15" s="328"/>
      <c r="F15" s="329"/>
      <c r="G15" s="330"/>
      <c r="H15" s="330"/>
      <c r="I15" s="331"/>
      <c r="J15" s="330"/>
      <c r="K15" s="330"/>
      <c r="L15" s="331"/>
      <c r="M15" s="330"/>
      <c r="N15" s="330"/>
      <c r="O15" s="331"/>
      <c r="P15" s="330"/>
      <c r="Q15" s="330"/>
      <c r="R15" s="331"/>
      <c r="S15" s="330"/>
      <c r="T15" s="330"/>
      <c r="U15" s="331"/>
      <c r="V15" s="330"/>
      <c r="W15" s="330"/>
      <c r="X15" s="332"/>
    </row>
    <row r="16" spans="1:24" ht="16.149999999999999" customHeight="1" x14ac:dyDescent="0.2">
      <c r="E16" s="328"/>
      <c r="F16" s="329"/>
      <c r="G16" s="330"/>
      <c r="H16" s="330"/>
      <c r="I16" s="331"/>
      <c r="J16" s="330"/>
      <c r="K16" s="330"/>
      <c r="L16" s="331"/>
      <c r="M16" s="330"/>
      <c r="N16" s="330"/>
      <c r="O16" s="331"/>
      <c r="P16" s="330"/>
      <c r="Q16" s="330"/>
      <c r="R16" s="331"/>
      <c r="S16" s="330"/>
      <c r="T16" s="330"/>
      <c r="U16" s="331"/>
      <c r="V16" s="333"/>
      <c r="W16" s="333"/>
      <c r="X16" s="332"/>
    </row>
    <row r="17" spans="5:24" ht="16.149999999999999" customHeight="1" x14ac:dyDescent="0.2">
      <c r="E17" s="328"/>
      <c r="F17" s="329"/>
      <c r="G17" s="333"/>
      <c r="H17" s="333"/>
      <c r="I17" s="331"/>
      <c r="J17" s="333"/>
      <c r="K17" s="333"/>
      <c r="L17" s="331"/>
      <c r="M17" s="333"/>
      <c r="N17" s="333"/>
      <c r="O17" s="331"/>
      <c r="P17" s="333"/>
      <c r="Q17" s="333"/>
      <c r="R17" s="331"/>
      <c r="S17" s="333"/>
      <c r="T17" s="333"/>
      <c r="U17" s="331"/>
      <c r="V17" s="333"/>
      <c r="W17" s="333"/>
      <c r="X17" s="332"/>
    </row>
    <row r="18" spans="5:24" ht="16.149999999999999" customHeight="1" x14ac:dyDescent="0.2">
      <c r="E18" s="334"/>
      <c r="F18" s="329"/>
      <c r="G18" s="335"/>
      <c r="H18" s="330"/>
      <c r="I18" s="331"/>
      <c r="J18" s="335"/>
      <c r="K18" s="330"/>
      <c r="L18" s="331"/>
      <c r="M18" s="335"/>
      <c r="N18" s="330"/>
      <c r="O18" s="331"/>
      <c r="P18" s="330"/>
      <c r="Q18" s="330"/>
      <c r="R18" s="331"/>
      <c r="S18" s="335"/>
      <c r="T18" s="330"/>
      <c r="U18" s="331"/>
      <c r="V18" s="335"/>
      <c r="W18" s="330"/>
      <c r="X18" s="332"/>
    </row>
    <row r="19" spans="5:24" ht="16.149999999999999" customHeight="1" x14ac:dyDescent="0.2">
      <c r="E19" s="334"/>
      <c r="F19" s="329"/>
      <c r="G19" s="330"/>
      <c r="H19" s="330"/>
      <c r="I19" s="331"/>
      <c r="J19" s="330"/>
      <c r="K19" s="330"/>
      <c r="L19" s="331"/>
      <c r="M19" s="330"/>
      <c r="N19" s="330"/>
      <c r="O19" s="331"/>
      <c r="P19" s="330"/>
      <c r="Q19" s="330"/>
      <c r="R19" s="331"/>
      <c r="S19" s="330"/>
      <c r="T19" s="330"/>
      <c r="U19" s="331"/>
      <c r="V19" s="335"/>
      <c r="W19" s="330"/>
      <c r="X19" s="332"/>
    </row>
    <row r="20" spans="5:24" ht="16.149999999999999" customHeight="1" x14ac:dyDescent="0.2">
      <c r="E20" s="336"/>
      <c r="F20" s="337"/>
      <c r="G20" s="337"/>
      <c r="H20" s="337"/>
      <c r="I20" s="337"/>
      <c r="J20" s="337"/>
      <c r="K20" s="337"/>
      <c r="L20" s="337"/>
      <c r="M20" s="337"/>
      <c r="N20" s="337"/>
      <c r="O20" s="337"/>
      <c r="P20" s="337"/>
      <c r="Q20" s="337"/>
      <c r="R20" s="337"/>
      <c r="S20" s="337"/>
      <c r="T20" s="337"/>
      <c r="U20" s="337"/>
      <c r="V20" s="337"/>
      <c r="W20" s="337"/>
      <c r="X20" s="338"/>
    </row>
    <row r="21" spans="5:24" ht="16.149999999999999" customHeight="1" x14ac:dyDescent="0.2">
      <c r="E21" s="759" t="s">
        <v>130</v>
      </c>
      <c r="F21" s="760"/>
      <c r="G21" s="760"/>
      <c r="H21" s="760"/>
      <c r="I21" s="760"/>
      <c r="J21" s="760"/>
      <c r="K21" s="760"/>
      <c r="L21" s="760"/>
      <c r="M21" s="760"/>
      <c r="N21" s="760"/>
      <c r="O21" s="760"/>
      <c r="P21" s="760"/>
      <c r="Q21" s="760"/>
      <c r="R21" s="760"/>
      <c r="S21" s="760"/>
      <c r="T21" s="760"/>
      <c r="U21" s="760"/>
      <c r="V21" s="760"/>
      <c r="W21" s="760"/>
      <c r="X21" s="761"/>
    </row>
    <row r="22" spans="5:24" ht="16.149999999999999" customHeight="1" x14ac:dyDescent="0.2">
      <c r="E22" s="339"/>
      <c r="F22" s="340"/>
      <c r="G22" s="127"/>
      <c r="H22" s="127"/>
      <c r="I22" s="127"/>
      <c r="J22" s="127"/>
      <c r="K22" s="127"/>
      <c r="L22" s="127"/>
      <c r="M22" s="127"/>
      <c r="N22" s="127"/>
      <c r="O22" s="127"/>
      <c r="P22" s="127"/>
      <c r="Q22" s="127"/>
      <c r="R22" s="127"/>
      <c r="S22" s="127"/>
      <c r="T22" s="127"/>
      <c r="U22" s="127"/>
      <c r="V22" s="127"/>
      <c r="W22" s="127"/>
      <c r="X22" s="128"/>
    </row>
    <row r="23" spans="5:24" ht="16.149999999999999" customHeight="1" x14ac:dyDescent="0.2">
      <c r="E23" s="339"/>
      <c r="F23" s="340"/>
      <c r="G23" s="127"/>
      <c r="H23" s="127"/>
      <c r="I23" s="127"/>
      <c r="J23" s="127"/>
      <c r="K23" s="127"/>
      <c r="L23" s="127"/>
      <c r="M23" s="127"/>
      <c r="N23" s="127"/>
      <c r="O23" s="127"/>
      <c r="P23" s="127"/>
      <c r="Q23" s="127"/>
      <c r="R23" s="127"/>
      <c r="S23" s="127"/>
      <c r="T23" s="127"/>
      <c r="U23" s="127"/>
      <c r="V23" s="127"/>
      <c r="W23" s="127"/>
      <c r="X23" s="128"/>
    </row>
    <row r="24" spans="5:24" ht="16.149999999999999" customHeight="1" x14ac:dyDescent="0.2">
      <c r="E24" s="339"/>
      <c r="F24" s="340"/>
      <c r="G24" s="127"/>
      <c r="H24" s="127"/>
      <c r="I24" s="127"/>
      <c r="J24" s="127"/>
      <c r="K24" s="127"/>
      <c r="L24" s="127"/>
      <c r="M24" s="127"/>
      <c r="N24" s="127"/>
      <c r="O24" s="127"/>
      <c r="P24" s="127"/>
      <c r="Q24" s="127"/>
      <c r="R24" s="127"/>
      <c r="S24" s="127"/>
      <c r="T24" s="127"/>
      <c r="U24" s="127"/>
      <c r="V24" s="127"/>
      <c r="W24" s="127"/>
      <c r="X24" s="128"/>
    </row>
    <row r="25" spans="5:24" ht="16.149999999999999" customHeight="1" x14ac:dyDescent="0.2">
      <c r="E25" s="339"/>
      <c r="F25" s="340"/>
      <c r="G25" s="127"/>
      <c r="H25" s="127"/>
      <c r="I25" s="127"/>
      <c r="J25" s="127"/>
      <c r="K25" s="127"/>
      <c r="L25" s="127"/>
      <c r="M25" s="127"/>
      <c r="N25" s="127"/>
      <c r="O25" s="127"/>
      <c r="P25" s="127"/>
      <c r="Q25" s="127"/>
      <c r="R25" s="127"/>
      <c r="S25" s="127"/>
      <c r="T25" s="127"/>
      <c r="U25" s="127"/>
      <c r="V25" s="127"/>
      <c r="W25" s="127"/>
      <c r="X25" s="128"/>
    </row>
    <row r="26" spans="5:24" ht="16.149999999999999" customHeight="1" x14ac:dyDescent="0.2">
      <c r="E26" s="341"/>
      <c r="F26" s="342"/>
      <c r="G26" s="127"/>
      <c r="H26" s="127"/>
      <c r="I26" s="127"/>
      <c r="J26" s="127"/>
      <c r="K26" s="127"/>
      <c r="L26" s="127"/>
      <c r="M26" s="127"/>
      <c r="N26" s="127"/>
      <c r="O26" s="127"/>
      <c r="P26" s="127"/>
      <c r="Q26" s="127"/>
      <c r="R26" s="127"/>
      <c r="S26" s="127"/>
      <c r="T26" s="127"/>
      <c r="U26" s="127"/>
      <c r="V26" s="127"/>
      <c r="W26" s="127"/>
      <c r="X26" s="128"/>
    </row>
    <row r="27" spans="5:24" ht="16.149999999999999" customHeight="1" x14ac:dyDescent="0.2">
      <c r="E27" s="339"/>
      <c r="F27" s="340"/>
      <c r="G27" s="340"/>
      <c r="H27" s="340"/>
      <c r="I27" s="340"/>
      <c r="J27" s="340"/>
      <c r="K27" s="340"/>
      <c r="L27" s="340"/>
      <c r="M27" s="340"/>
      <c r="N27" s="340"/>
      <c r="O27" s="340"/>
      <c r="P27" s="342"/>
      <c r="Q27" s="342"/>
      <c r="R27" s="342"/>
      <c r="S27" s="342"/>
      <c r="T27" s="342"/>
      <c r="U27" s="342"/>
      <c r="V27" s="342"/>
      <c r="W27" s="342"/>
      <c r="X27" s="343"/>
    </row>
    <row r="28" spans="5:24" ht="16.149999999999999" customHeight="1" x14ac:dyDescent="0.2">
      <c r="E28" s="126"/>
      <c r="F28" s="127"/>
      <c r="G28" s="127"/>
      <c r="H28" s="127"/>
      <c r="I28" s="127"/>
      <c r="J28" s="344"/>
      <c r="K28" s="344"/>
      <c r="L28" s="345"/>
      <c r="M28" s="340"/>
      <c r="N28" s="340"/>
      <c r="O28" s="340"/>
      <c r="P28" s="344"/>
      <c r="Q28" s="344"/>
      <c r="R28" s="345"/>
      <c r="S28" s="127"/>
      <c r="T28" s="127"/>
      <c r="U28" s="127"/>
      <c r="V28" s="127"/>
      <c r="W28" s="127"/>
      <c r="X28" s="128"/>
    </row>
    <row r="29" spans="5:24" ht="16.149999999999999" customHeight="1" x14ac:dyDescent="0.2">
      <c r="E29" s="126"/>
      <c r="F29" s="127"/>
      <c r="G29" s="127"/>
      <c r="H29" s="127"/>
      <c r="I29" s="127"/>
      <c r="J29" s="346"/>
      <c r="K29" s="346"/>
      <c r="L29" s="347"/>
      <c r="M29" s="127"/>
      <c r="N29" s="127"/>
      <c r="O29" s="127"/>
      <c r="P29" s="348"/>
      <c r="Q29" s="348"/>
      <c r="R29" s="347"/>
      <c r="S29" s="127"/>
      <c r="T29" s="127"/>
      <c r="U29" s="127"/>
      <c r="V29" s="127"/>
      <c r="W29" s="127"/>
      <c r="X29" s="128"/>
    </row>
    <row r="30" spans="5:24" ht="16.149999999999999" customHeight="1" x14ac:dyDescent="0.2">
      <c r="E30" s="126"/>
      <c r="F30" s="127"/>
      <c r="G30" s="127"/>
      <c r="H30" s="127"/>
      <c r="I30" s="127"/>
      <c r="J30" s="346"/>
      <c r="K30" s="346"/>
      <c r="L30" s="347"/>
      <c r="M30" s="127"/>
      <c r="N30" s="127"/>
      <c r="O30" s="127"/>
      <c r="P30" s="348"/>
      <c r="Q30" s="348"/>
      <c r="R30" s="347"/>
      <c r="S30" s="127"/>
      <c r="T30" s="127"/>
      <c r="U30" s="127"/>
      <c r="V30" s="127"/>
      <c r="W30" s="127"/>
      <c r="X30" s="128"/>
    </row>
    <row r="31" spans="5:24" ht="16.149999999999999" customHeight="1" x14ac:dyDescent="0.2">
      <c r="E31" s="126"/>
      <c r="F31" s="127"/>
      <c r="G31" s="127"/>
      <c r="H31" s="127"/>
      <c r="I31" s="127"/>
      <c r="J31" s="346"/>
      <c r="K31" s="346"/>
      <c r="L31" s="347"/>
      <c r="M31" s="127"/>
      <c r="N31" s="127"/>
      <c r="O31" s="127"/>
      <c r="P31" s="348"/>
      <c r="Q31" s="348"/>
      <c r="R31" s="347"/>
      <c r="S31" s="127"/>
      <c r="T31" s="127"/>
      <c r="U31" s="127"/>
      <c r="V31" s="127"/>
      <c r="W31" s="127"/>
      <c r="X31" s="128"/>
    </row>
    <row r="32" spans="5:24" ht="16.149999999999999" customHeight="1" x14ac:dyDescent="0.2">
      <c r="E32" s="126"/>
      <c r="F32" s="127"/>
      <c r="G32" s="127"/>
      <c r="H32" s="127"/>
      <c r="I32" s="127"/>
      <c r="J32" s="346"/>
      <c r="K32" s="346"/>
      <c r="L32" s="347"/>
      <c r="M32" s="127"/>
      <c r="N32" s="127"/>
      <c r="O32" s="127"/>
      <c r="P32" s="348"/>
      <c r="Q32" s="348"/>
      <c r="R32" s="347"/>
      <c r="S32" s="127"/>
      <c r="T32" s="127"/>
      <c r="U32" s="127"/>
      <c r="V32" s="127"/>
      <c r="W32" s="127"/>
      <c r="X32" s="128"/>
    </row>
    <row r="33" spans="4:24" ht="16.149999999999999" customHeight="1" x14ac:dyDescent="0.2">
      <c r="E33" s="759" t="s">
        <v>132</v>
      </c>
      <c r="F33" s="760"/>
      <c r="G33" s="760"/>
      <c r="H33" s="760"/>
      <c r="I33" s="760"/>
      <c r="J33" s="760"/>
      <c r="K33" s="761"/>
      <c r="L33" s="759" t="s">
        <v>133</v>
      </c>
      <c r="M33" s="760"/>
      <c r="N33" s="760"/>
      <c r="O33" s="760"/>
      <c r="P33" s="760"/>
      <c r="Q33" s="760"/>
      <c r="R33" s="760"/>
      <c r="S33" s="761"/>
      <c r="T33" s="759" t="s">
        <v>135</v>
      </c>
      <c r="U33" s="760"/>
      <c r="V33" s="760"/>
      <c r="W33" s="760"/>
      <c r="X33" s="761"/>
    </row>
    <row r="34" spans="4:24" ht="16.149999999999999" customHeight="1" x14ac:dyDescent="0.2">
      <c r="E34" s="349"/>
      <c r="F34" s="350"/>
      <c r="G34" s="350"/>
      <c r="H34" s="350"/>
      <c r="I34" s="350"/>
      <c r="J34" s="351"/>
      <c r="K34" s="351"/>
      <c r="L34" s="352"/>
      <c r="M34" s="353"/>
      <c r="N34" s="353"/>
      <c r="O34" s="353"/>
      <c r="P34" s="354"/>
      <c r="Q34" s="354"/>
      <c r="R34" s="352"/>
      <c r="S34" s="350"/>
      <c r="T34" s="350"/>
      <c r="U34" s="350"/>
      <c r="V34" s="350"/>
      <c r="W34" s="350"/>
      <c r="X34" s="355"/>
    </row>
    <row r="35" spans="4:24" ht="16.149999999999999" customHeight="1" x14ac:dyDescent="0.2">
      <c r="E35" s="349"/>
      <c r="F35" s="350"/>
      <c r="G35" s="350"/>
      <c r="H35" s="350"/>
      <c r="I35" s="350"/>
      <c r="J35" s="356"/>
      <c r="K35" s="356"/>
      <c r="L35" s="357"/>
      <c r="M35" s="350"/>
      <c r="N35" s="350"/>
      <c r="O35" s="350"/>
      <c r="P35" s="358"/>
      <c r="Q35" s="358"/>
      <c r="R35" s="357"/>
      <c r="S35" s="350"/>
      <c r="T35" s="350"/>
      <c r="U35" s="350"/>
      <c r="V35" s="350"/>
      <c r="W35" s="350"/>
      <c r="X35" s="355"/>
    </row>
    <row r="36" spans="4:24" ht="16.149999999999999" customHeight="1" thickBot="1" x14ac:dyDescent="0.25">
      <c r="E36" s="359"/>
      <c r="F36" s="360"/>
      <c r="G36" s="360"/>
      <c r="H36" s="360"/>
      <c r="I36" s="360"/>
      <c r="J36" s="361"/>
      <c r="K36" s="361"/>
      <c r="L36" s="362"/>
      <c r="M36" s="363"/>
      <c r="N36" s="363"/>
      <c r="O36" s="363"/>
      <c r="P36" s="364"/>
      <c r="Q36" s="364"/>
      <c r="R36" s="362"/>
      <c r="S36" s="360"/>
      <c r="T36" s="360"/>
      <c r="U36" s="360"/>
      <c r="V36" s="360"/>
      <c r="W36" s="360"/>
      <c r="X36" s="365"/>
    </row>
    <row r="37" spans="4:24" s="181" customFormat="1" ht="16.149999999999999" customHeight="1" thickTop="1" thickBot="1" x14ac:dyDescent="0.2">
      <c r="D37" s="177"/>
      <c r="E37" s="178" t="str">
        <f>REP.footer1</f>
        <v>This report is copyright © Global Tourism Solutions (UK) Ltd 2014</v>
      </c>
      <c r="F37" s="179"/>
      <c r="G37" s="179"/>
      <c r="H37" s="179"/>
      <c r="I37" s="179"/>
      <c r="J37" s="179"/>
      <c r="K37" s="179"/>
      <c r="L37" s="179"/>
      <c r="M37" s="179"/>
      <c r="N37" s="179"/>
      <c r="O37" s="179"/>
      <c r="P37" s="179"/>
      <c r="Q37" s="179"/>
      <c r="R37" s="179"/>
      <c r="S37" s="179"/>
      <c r="T37" s="179"/>
      <c r="U37" s="179"/>
      <c r="V37" s="179"/>
      <c r="W37" s="179"/>
      <c r="X37" s="180" t="str">
        <f>REP.footer2</f>
        <v>Report Prepared by: Alison Tipler. Date of Issue: 11/04/14</v>
      </c>
    </row>
    <row r="38" spans="4:24" ht="16.149999999999999" customHeight="1" thickTop="1" x14ac:dyDescent="0.2"/>
    <row r="69" spans="7:23" ht="16.149999999999999" customHeight="1" x14ac:dyDescent="0.2">
      <c r="G69" s="118" t="s">
        <v>44</v>
      </c>
      <c r="H69" s="118" t="s">
        <v>44</v>
      </c>
      <c r="J69" s="118" t="s">
        <v>49</v>
      </c>
      <c r="K69" s="118" t="s">
        <v>49</v>
      </c>
      <c r="M69" s="118" t="s">
        <v>19</v>
      </c>
      <c r="N69" s="118" t="s">
        <v>19</v>
      </c>
      <c r="P69" s="118" t="s">
        <v>97</v>
      </c>
      <c r="S69" s="118" t="s">
        <v>73</v>
      </c>
      <c r="T69" s="118" t="s">
        <v>73</v>
      </c>
      <c r="V69" s="118" t="s">
        <v>55</v>
      </c>
      <c r="W69" s="118" t="s">
        <v>55</v>
      </c>
    </row>
  </sheetData>
  <sheetProtection algorithmName="SHA-512" hashValue="n3hm9t4iIhQaEd0vSeLWCBsByHe/Y3JFh+fVRP5avUVCcaFv2QZHGDYSWfZ+23FlNDuB04N5qU1pctifpS6rEQ==" saltValue="y7vHC0jAOm/EJOc77ReqKA==" spinCount="100000" sheet="1" objects="1" scenarios="1"/>
  <mergeCells count="8">
    <mergeCell ref="E8:X8"/>
    <mergeCell ref="S6:X7"/>
    <mergeCell ref="E33:K33"/>
    <mergeCell ref="E9:X9"/>
    <mergeCell ref="L33:S33"/>
    <mergeCell ref="T33:X33"/>
    <mergeCell ref="E21:X21"/>
    <mergeCell ref="N6:R7"/>
  </mergeCells>
  <conditionalFormatting sqref="I14:I19 L14:L19 O14:O19 R14:R19 U14:U19 X14:X19 L29:L32 R29:R32 R34:R36 L34:L36">
    <cfRule type="cellIs" dxfId="186" priority="1" operator="greaterThanOrEqual">
      <formula>REP.percenthighlight</formula>
    </cfRule>
    <cfRule type="cellIs" dxfId="185" priority="2" operator="lessThanOrEqual">
      <formula>-REP.percenthighlight</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Drop Down 1">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25954" r:id="rId5" name="Drop Down 2">
              <controlPr defaultSize="0" autoLine="0" autoPict="0">
                <anchor moveWithCells="1">
                  <from>
                    <xdr:col>6</xdr:col>
                    <xdr:colOff>419100</xdr:colOff>
                    <xdr:row>4</xdr:row>
                    <xdr:rowOff>19050</xdr:rowOff>
                  </from>
                  <to>
                    <xdr:col>8</xdr:col>
                    <xdr:colOff>133350</xdr:colOff>
                    <xdr:row>4</xdr:row>
                    <xdr:rowOff>295275</xdr:rowOff>
                  </to>
                </anchor>
              </controlPr>
            </control>
          </mc:Choice>
        </mc:AlternateContent>
        <mc:AlternateContent xmlns:mc="http://schemas.openxmlformats.org/markup-compatibility/2006">
          <mc:Choice Requires="x14">
            <control shapeId="125955" r:id="rId6" name="Drop Down 3">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25956" r:id="rId7" name="Drop Down 4">
              <controlPr defaultSize="0" autoLine="0" autoPict="0">
                <anchor moveWithCells="1">
                  <from>
                    <xdr:col>4</xdr:col>
                    <xdr:colOff>600075</xdr:colOff>
                    <xdr:row>4</xdr:row>
                    <xdr:rowOff>19050</xdr:rowOff>
                  </from>
                  <to>
                    <xdr:col>4</xdr:col>
                    <xdr:colOff>1314450</xdr:colOff>
                    <xdr:row>4</xdr:row>
                    <xdr:rowOff>295275</xdr:rowOff>
                  </to>
                </anchor>
              </controlPr>
            </control>
          </mc:Choice>
        </mc:AlternateContent>
        <mc:AlternateContent xmlns:mc="http://schemas.openxmlformats.org/markup-compatibility/2006">
          <mc:Choice Requires="x14">
            <control shapeId="126009" r:id="rId8" name="Drop Down 57">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Client04">
    <tabColor rgb="FF00B0F0"/>
    <outlinePr showOutlineSymbols="0"/>
    <pageSetUpPr autoPageBreaks="0" fitToPage="1"/>
  </sheetPr>
  <dimension ref="A1:Z70"/>
  <sheetViews>
    <sheetView showGridLines="0" showZeros="0" showOutlineSymbols="0" topLeftCell="A2" zoomScaleNormal="100" workbookViewId="0">
      <pane ySplit="6" topLeftCell="A8" activePane="bottomLeft" state="frozen"/>
      <selection activeCell="M48" sqref="M48"/>
      <selection pane="bottomLeft" activeCell="AA32" sqref="AA32"/>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6" ht="16.149999999999999" hidden="1" customHeight="1" thickTop="1" thickBot="1" x14ac:dyDescent="0.25">
      <c r="A1" s="117" t="str">
        <f ca="1">MID(CELL("filename",A1),FIND("]",CELL("filename",A1))+1,255)</f>
        <v>USER GUIDE</v>
      </c>
      <c r="E1" s="120"/>
      <c r="F1" s="121"/>
      <c r="G1" s="121"/>
      <c r="H1" s="121"/>
      <c r="I1" s="121"/>
      <c r="J1" s="121"/>
      <c r="K1" s="121"/>
      <c r="L1" s="121"/>
      <c r="M1" s="121"/>
      <c r="N1" s="121"/>
      <c r="O1" s="121"/>
      <c r="P1" s="121"/>
      <c r="Q1" s="121"/>
      <c r="R1" s="121"/>
      <c r="S1" s="121"/>
      <c r="T1" s="121"/>
      <c r="U1" s="121"/>
      <c r="V1" s="121"/>
      <c r="W1" s="121"/>
      <c r="X1" s="122"/>
    </row>
    <row r="2" spans="1:26"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6" ht="26.45" customHeight="1" x14ac:dyDescent="0.2">
      <c r="E3" s="126"/>
      <c r="F3" s="127"/>
      <c r="G3" s="127"/>
      <c r="H3" s="127"/>
      <c r="I3" s="127"/>
      <c r="J3" s="127"/>
      <c r="K3" s="127"/>
      <c r="L3" s="127"/>
      <c r="M3" s="127"/>
      <c r="N3" s="127"/>
      <c r="O3" s="127"/>
      <c r="P3" s="127"/>
      <c r="Q3" s="127"/>
      <c r="R3" s="127"/>
      <c r="S3" s="127"/>
      <c r="T3" s="127"/>
      <c r="U3" s="127"/>
      <c r="V3" s="127"/>
      <c r="W3" s="127"/>
      <c r="X3" s="128"/>
    </row>
    <row r="4" spans="1:26" ht="26.45" customHeight="1" x14ac:dyDescent="0.2">
      <c r="E4" s="211"/>
      <c r="F4" s="212"/>
      <c r="G4" s="212"/>
      <c r="H4" s="212"/>
      <c r="I4" s="212"/>
      <c r="J4" s="212"/>
      <c r="K4" s="212"/>
      <c r="L4" s="212"/>
      <c r="M4" s="212"/>
      <c r="N4" s="212"/>
      <c r="O4" s="212"/>
      <c r="P4" s="212"/>
      <c r="Q4" s="212"/>
      <c r="R4" s="212"/>
      <c r="S4" s="212"/>
      <c r="T4" s="212"/>
      <c r="U4" s="212"/>
      <c r="V4" s="212"/>
      <c r="W4" s="212"/>
      <c r="X4" s="213"/>
    </row>
    <row r="5" spans="1:26"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6" ht="16.149999999999999" customHeight="1" thickTop="1" x14ac:dyDescent="0.2">
      <c r="E6" s="559" t="str">
        <f>REP.title1</f>
        <v>STEAM FINAL TREND REPORT FOR 2009-2013</v>
      </c>
      <c r="F6" s="560"/>
      <c r="G6" s="560"/>
      <c r="H6" s="560"/>
      <c r="I6" s="560"/>
      <c r="J6" s="560"/>
      <c r="K6" s="560"/>
      <c r="L6" s="560"/>
      <c r="M6" s="560"/>
      <c r="N6" s="560"/>
      <c r="O6" s="560"/>
      <c r="P6" s="564"/>
      <c r="Q6" s="564"/>
      <c r="R6" s="564"/>
      <c r="S6" s="771" t="s">
        <v>168</v>
      </c>
      <c r="T6" s="772"/>
      <c r="U6" s="772"/>
      <c r="V6" s="772"/>
      <c r="W6" s="772"/>
      <c r="X6" s="773"/>
    </row>
    <row r="7" spans="1:26" ht="16.149999999999999" customHeight="1" thickBot="1" x14ac:dyDescent="0.25">
      <c r="E7" s="561" t="str">
        <f>REP.title2</f>
        <v>MORAY HIE</v>
      </c>
      <c r="F7" s="562"/>
      <c r="G7" s="562"/>
      <c r="H7" s="562"/>
      <c r="I7" s="563"/>
      <c r="J7" s="563"/>
      <c r="K7" s="563"/>
      <c r="L7" s="563"/>
      <c r="M7" s="563"/>
      <c r="N7" s="563"/>
      <c r="O7" s="565"/>
      <c r="P7" s="565"/>
      <c r="Q7" s="565"/>
      <c r="R7" s="565"/>
      <c r="S7" s="774"/>
      <c r="T7" s="775"/>
      <c r="U7" s="775"/>
      <c r="V7" s="775"/>
      <c r="W7" s="775"/>
      <c r="X7" s="776"/>
    </row>
    <row r="8" spans="1:26" ht="16.149999999999999" customHeight="1" thickTop="1" thickBot="1" x14ac:dyDescent="0.25">
      <c r="E8" s="250"/>
      <c r="F8" s="251"/>
      <c r="G8" s="251"/>
      <c r="H8" s="251"/>
      <c r="I8" s="251"/>
      <c r="J8" s="251"/>
      <c r="K8" s="251"/>
      <c r="L8" s="251"/>
      <c r="M8" s="251"/>
      <c r="N8" s="251"/>
      <c r="O8" s="250"/>
      <c r="P8" s="251"/>
      <c r="Q8" s="251"/>
      <c r="R8" s="251"/>
      <c r="S8" s="251"/>
      <c r="T8" s="251"/>
      <c r="U8" s="251"/>
      <c r="V8" s="251"/>
      <c r="W8" s="251"/>
      <c r="X8" s="252"/>
    </row>
    <row r="9" spans="1:26" s="132" customFormat="1" ht="16.149999999999999" customHeight="1" thickTop="1" thickBot="1" x14ac:dyDescent="0.25">
      <c r="E9" s="543"/>
      <c r="F9" s="544"/>
      <c r="G9" s="544"/>
      <c r="H9" s="544"/>
      <c r="I9" s="544"/>
      <c r="J9" s="544"/>
      <c r="K9" s="544"/>
      <c r="L9" s="544"/>
      <c r="M9" s="544"/>
      <c r="N9" s="545"/>
      <c r="O9" s="543"/>
      <c r="P9" s="544"/>
      <c r="Q9" s="544"/>
      <c r="R9" s="544"/>
      <c r="S9" s="544"/>
      <c r="T9" s="544"/>
      <c r="U9" s="544"/>
      <c r="V9" s="544"/>
      <c r="W9" s="544"/>
      <c r="X9" s="545"/>
    </row>
    <row r="10" spans="1:26" s="132" customFormat="1" ht="16.149999999999999" customHeight="1" thickTop="1" thickBot="1" x14ac:dyDescent="0.25">
      <c r="E10" s="248"/>
      <c r="F10" s="249"/>
      <c r="G10" s="250"/>
      <c r="H10" s="251"/>
      <c r="I10" s="251"/>
      <c r="J10" s="251"/>
      <c r="K10" s="251"/>
      <c r="L10" s="251"/>
      <c r="M10" s="251"/>
      <c r="N10" s="251"/>
      <c r="O10" s="251"/>
      <c r="P10" s="251"/>
      <c r="Q10" s="251"/>
      <c r="R10" s="252"/>
      <c r="S10" s="253"/>
      <c r="T10" s="253"/>
      <c r="U10" s="254"/>
      <c r="V10" s="255"/>
      <c r="W10" s="255"/>
      <c r="X10" s="256"/>
    </row>
    <row r="11" spans="1:26" s="132" customFormat="1" ht="16.149999999999999" customHeight="1" thickTop="1" thickBot="1" x14ac:dyDescent="0.25">
      <c r="E11" s="248"/>
      <c r="F11" s="249"/>
      <c r="G11" s="248"/>
      <c r="H11" s="257"/>
      <c r="I11" s="249"/>
      <c r="J11" s="248"/>
      <c r="K11" s="257"/>
      <c r="L11" s="249"/>
      <c r="M11" s="258"/>
      <c r="N11" s="259"/>
      <c r="O11" s="260"/>
      <c r="P11" s="258"/>
      <c r="Q11" s="259"/>
      <c r="R11" s="260"/>
      <c r="S11" s="261"/>
      <c r="T11" s="261"/>
      <c r="U11" s="262"/>
      <c r="V11" s="263"/>
      <c r="W11" s="263"/>
      <c r="X11" s="264"/>
    </row>
    <row r="12" spans="1:26" ht="16.149999999999999" customHeight="1" thickTop="1" thickBot="1" x14ac:dyDescent="0.25">
      <c r="E12" s="265"/>
      <c r="F12" s="266"/>
      <c r="G12" s="267"/>
      <c r="H12" s="267"/>
      <c r="I12" s="267"/>
      <c r="J12" s="267"/>
      <c r="K12" s="267"/>
      <c r="L12" s="267"/>
      <c r="M12" s="268"/>
      <c r="N12" s="268"/>
      <c r="O12" s="268"/>
      <c r="P12" s="268"/>
      <c r="Q12" s="268"/>
      <c r="R12" s="268"/>
      <c r="S12" s="269"/>
      <c r="T12" s="269"/>
      <c r="U12" s="270"/>
      <c r="V12" s="270"/>
      <c r="W12" s="220"/>
      <c r="X12" s="220"/>
    </row>
    <row r="13" spans="1:26" ht="16.149999999999999" customHeight="1" thickTop="1" thickBot="1" x14ac:dyDescent="0.25">
      <c r="E13" s="271"/>
      <c r="F13" s="271"/>
      <c r="G13" s="142"/>
      <c r="H13" s="142"/>
      <c r="I13" s="142"/>
      <c r="J13" s="142"/>
      <c r="K13" s="142"/>
      <c r="L13" s="142"/>
      <c r="M13" s="199"/>
      <c r="N13" s="199"/>
      <c r="O13" s="199"/>
      <c r="P13" s="199"/>
      <c r="Q13" s="199"/>
      <c r="R13" s="199"/>
      <c r="S13" s="199"/>
      <c r="T13" s="272"/>
      <c r="U13" s="142"/>
      <c r="V13" s="142"/>
      <c r="W13" s="142"/>
      <c r="X13" s="142"/>
    </row>
    <row r="14" spans="1:26" ht="16.149999999999999" customHeight="1" thickTop="1" thickBot="1" x14ac:dyDescent="0.25">
      <c r="E14" s="271"/>
      <c r="F14" s="271"/>
      <c r="G14" s="142"/>
      <c r="H14" s="142"/>
      <c r="I14" s="142"/>
      <c r="J14" s="142"/>
      <c r="K14" s="142"/>
      <c r="L14" s="142"/>
      <c r="M14" s="199"/>
      <c r="N14" s="199"/>
      <c r="O14" s="199"/>
      <c r="P14" s="199"/>
      <c r="Q14" s="199"/>
      <c r="R14" s="199"/>
      <c r="S14" s="199"/>
      <c r="T14" s="272"/>
      <c r="U14" s="142"/>
      <c r="V14" s="142"/>
      <c r="W14" s="142"/>
      <c r="X14" s="142"/>
    </row>
    <row r="15" spans="1:26" ht="16.149999999999999" customHeight="1" thickTop="1" thickBot="1" x14ac:dyDescent="0.25">
      <c r="E15" s="271"/>
      <c r="F15" s="271"/>
      <c r="G15" s="142"/>
      <c r="H15" s="142"/>
      <c r="I15" s="142"/>
      <c r="J15" s="142"/>
      <c r="K15" s="142"/>
      <c r="L15" s="142"/>
      <c r="M15" s="199"/>
      <c r="N15" s="199"/>
      <c r="O15" s="199"/>
      <c r="P15" s="199"/>
      <c r="Q15" s="199"/>
      <c r="R15" s="199"/>
      <c r="S15" s="199"/>
      <c r="T15" s="272"/>
      <c r="U15" s="142"/>
      <c r="V15" s="142"/>
      <c r="W15" s="142"/>
      <c r="X15" s="142"/>
    </row>
    <row r="16" spans="1:26" ht="16.149999999999999" customHeight="1" thickTop="1" thickBot="1" x14ac:dyDescent="0.25">
      <c r="E16" s="273"/>
      <c r="F16" s="274"/>
      <c r="G16" s="275"/>
      <c r="H16" s="275"/>
      <c r="I16" s="275"/>
      <c r="J16" s="275"/>
      <c r="K16" s="275"/>
      <c r="L16" s="275"/>
      <c r="M16" s="276"/>
      <c r="N16" s="276"/>
      <c r="O16" s="276"/>
      <c r="P16" s="276"/>
      <c r="Q16" s="276"/>
      <c r="R16" s="276"/>
      <c r="S16" s="276"/>
      <c r="T16" s="272"/>
      <c r="U16" s="275"/>
      <c r="V16" s="275"/>
      <c r="W16" s="276"/>
      <c r="X16" s="276"/>
      <c r="Y16" s="277"/>
      <c r="Z16" s="118" t="b">
        <f>K16&gt;1000000</f>
        <v>0</v>
      </c>
    </row>
    <row r="17" spans="4:24" ht="16.149999999999999" customHeight="1" thickTop="1" thickBot="1" x14ac:dyDescent="0.25">
      <c r="E17" s="273"/>
      <c r="F17" s="274"/>
      <c r="G17" s="275"/>
      <c r="H17" s="275"/>
      <c r="I17" s="275"/>
      <c r="J17" s="275"/>
      <c r="K17" s="275"/>
      <c r="L17" s="275"/>
      <c r="M17" s="276"/>
      <c r="N17" s="276"/>
      <c r="O17" s="276"/>
      <c r="P17" s="276"/>
      <c r="Q17" s="276"/>
      <c r="R17" s="276"/>
      <c r="S17" s="276"/>
      <c r="T17" s="142"/>
      <c r="U17" s="275"/>
      <c r="V17" s="275"/>
      <c r="W17" s="276"/>
      <c r="X17" s="276"/>
    </row>
    <row r="18" spans="4:24" ht="16.149999999999999" customHeight="1" thickTop="1" thickBot="1" x14ac:dyDescent="0.25">
      <c r="E18" s="273"/>
      <c r="F18" s="274"/>
      <c r="G18" s="275"/>
      <c r="H18" s="275"/>
      <c r="I18" s="275"/>
      <c r="J18" s="275"/>
      <c r="K18" s="275"/>
      <c r="L18" s="275"/>
      <c r="M18" s="276"/>
      <c r="N18" s="276"/>
      <c r="O18" s="276"/>
      <c r="P18" s="276"/>
      <c r="Q18" s="276"/>
      <c r="R18" s="276"/>
      <c r="S18" s="276"/>
      <c r="T18" s="142"/>
      <c r="U18" s="275"/>
      <c r="V18" s="275"/>
      <c r="W18" s="276"/>
      <c r="X18" s="276"/>
    </row>
    <row r="19" spans="4:24" ht="16.149999999999999" customHeight="1" thickTop="1" thickBot="1" x14ac:dyDescent="0.25">
      <c r="E19" s="273"/>
      <c r="F19" s="236"/>
      <c r="G19" s="278"/>
      <c r="H19" s="278"/>
      <c r="I19" s="278"/>
      <c r="J19" s="278"/>
      <c r="K19" s="278"/>
      <c r="L19" s="278"/>
      <c r="M19" s="279"/>
      <c r="N19" s="279"/>
      <c r="O19" s="280"/>
      <c r="P19" s="279"/>
      <c r="Q19" s="279"/>
      <c r="R19" s="279"/>
      <c r="S19" s="279"/>
      <c r="T19" s="281"/>
      <c r="U19" s="278"/>
      <c r="V19" s="278"/>
      <c r="W19" s="279"/>
      <c r="X19" s="282"/>
    </row>
    <row r="20" spans="4:24" ht="16.149999999999999" customHeight="1" thickTop="1" thickBot="1" x14ac:dyDescent="0.25">
      <c r="E20" s="250"/>
      <c r="F20" s="251"/>
      <c r="G20" s="251"/>
      <c r="H20" s="251"/>
      <c r="I20" s="251"/>
      <c r="J20" s="251"/>
      <c r="K20" s="251"/>
      <c r="L20" s="251"/>
      <c r="M20" s="251"/>
      <c r="N20" s="251"/>
      <c r="O20" s="550"/>
      <c r="P20" s="551"/>
      <c r="Q20" s="551"/>
      <c r="R20" s="551"/>
      <c r="S20" s="551"/>
      <c r="T20" s="551"/>
      <c r="U20" s="551"/>
      <c r="V20" s="551"/>
      <c r="W20" s="551"/>
      <c r="X20" s="552"/>
    </row>
    <row r="21" spans="4:24" ht="16.149999999999999" customHeight="1" thickTop="1" thickBot="1" x14ac:dyDescent="0.25">
      <c r="E21" s="543"/>
      <c r="F21" s="544"/>
      <c r="G21" s="544"/>
      <c r="H21" s="544"/>
      <c r="I21" s="544"/>
      <c r="J21" s="544"/>
      <c r="K21" s="544"/>
      <c r="L21" s="544"/>
      <c r="M21" s="544"/>
      <c r="N21" s="545"/>
      <c r="O21" s="543"/>
      <c r="P21" s="544"/>
      <c r="Q21" s="544"/>
      <c r="R21" s="544"/>
      <c r="S21" s="544"/>
      <c r="T21" s="544"/>
      <c r="U21" s="544"/>
      <c r="V21" s="544"/>
      <c r="W21" s="544"/>
      <c r="X21" s="545"/>
    </row>
    <row r="22" spans="4:24" ht="16.149999999999999" customHeight="1" thickTop="1" thickBot="1" x14ac:dyDescent="0.25">
      <c r="E22" s="248"/>
      <c r="F22" s="249"/>
      <c r="G22" s="250"/>
      <c r="H22" s="251"/>
      <c r="I22" s="251"/>
      <c r="J22" s="251"/>
      <c r="K22" s="251"/>
      <c r="L22" s="251"/>
      <c r="M22" s="251"/>
      <c r="N22" s="251"/>
      <c r="O22" s="248"/>
      <c r="P22" s="249"/>
      <c r="Q22" s="250"/>
      <c r="R22" s="251"/>
      <c r="S22" s="251"/>
      <c r="T22" s="251"/>
      <c r="U22" s="251"/>
      <c r="V22" s="251"/>
      <c r="W22" s="251"/>
      <c r="X22" s="252"/>
    </row>
    <row r="23" spans="4:24" ht="16.149999999999999" customHeight="1" thickTop="1" thickBot="1" x14ac:dyDescent="0.25">
      <c r="E23" s="248"/>
      <c r="F23" s="249"/>
      <c r="G23" s="248"/>
      <c r="H23" s="257"/>
      <c r="I23" s="249"/>
      <c r="J23" s="248"/>
      <c r="K23" s="257"/>
      <c r="L23" s="249"/>
      <c r="M23" s="258"/>
      <c r="N23" s="259"/>
      <c r="O23" s="248"/>
      <c r="P23" s="249"/>
      <c r="Q23" s="248"/>
      <c r="R23" s="257"/>
      <c r="S23" s="249"/>
      <c r="T23" s="248"/>
      <c r="U23" s="257"/>
      <c r="V23" s="249"/>
      <c r="W23" s="258"/>
      <c r="X23" s="260"/>
    </row>
    <row r="24" spans="4:24" ht="16.149999999999999" customHeight="1" thickTop="1" thickBot="1" x14ac:dyDescent="0.25">
      <c r="E24" s="265"/>
      <c r="F24" s="266"/>
      <c r="G24" s="267"/>
      <c r="H24" s="267"/>
      <c r="I24" s="267"/>
      <c r="J24" s="267"/>
      <c r="K24" s="267"/>
      <c r="L24" s="267"/>
      <c r="M24" s="268"/>
      <c r="N24" s="268"/>
      <c r="O24" s="265"/>
      <c r="P24" s="266"/>
      <c r="Q24" s="267"/>
      <c r="R24" s="267"/>
      <c r="S24" s="267"/>
      <c r="T24" s="267"/>
      <c r="U24" s="267"/>
      <c r="V24" s="267"/>
      <c r="W24" s="268"/>
      <c r="X24" s="140"/>
    </row>
    <row r="25" spans="4:24" ht="16.149999999999999" customHeight="1" thickTop="1" thickBot="1" x14ac:dyDescent="0.25">
      <c r="E25" s="271"/>
      <c r="F25" s="271"/>
      <c r="G25" s="142"/>
      <c r="H25" s="142"/>
      <c r="I25" s="142"/>
      <c r="J25" s="142"/>
      <c r="K25" s="142"/>
      <c r="L25" s="142"/>
      <c r="M25" s="199"/>
      <c r="N25" s="199"/>
      <c r="O25" s="271"/>
      <c r="P25" s="271"/>
      <c r="Q25" s="142"/>
      <c r="R25" s="142"/>
      <c r="S25" s="142"/>
      <c r="T25" s="142"/>
      <c r="U25" s="142"/>
      <c r="V25" s="142"/>
      <c r="W25" s="199"/>
      <c r="X25" s="199"/>
    </row>
    <row r="26" spans="4:24" ht="16.149999999999999" customHeight="1" thickTop="1" thickBot="1" x14ac:dyDescent="0.25">
      <c r="E26" s="271"/>
      <c r="F26" s="271"/>
      <c r="G26" s="142"/>
      <c r="H26" s="142"/>
      <c r="I26" s="142"/>
      <c r="J26" s="142"/>
      <c r="K26" s="142"/>
      <c r="L26" s="142"/>
      <c r="M26" s="199"/>
      <c r="N26" s="199"/>
      <c r="O26" s="271"/>
      <c r="P26" s="271"/>
      <c r="Q26" s="142"/>
      <c r="R26" s="142"/>
      <c r="S26" s="142"/>
      <c r="T26" s="142"/>
      <c r="U26" s="142"/>
      <c r="V26" s="142"/>
      <c r="W26" s="199"/>
      <c r="X26" s="199"/>
    </row>
    <row r="27" spans="4:24" ht="16.149999999999999" customHeight="1" thickTop="1" thickBot="1" x14ac:dyDescent="0.25">
      <c r="D27" s="203" t="str">
        <f ca="1">"'"&amp;$A$1&amp;"'!"&amp;CELL("address",G27)&amp;":"&amp;CELL("address",OFFSET(G27,0,COUNT(REP.yearsrange)-1))</f>
        <v>'USER GUIDE'!$G$27:$K$27</v>
      </c>
      <c r="E27" s="271"/>
      <c r="F27" s="271"/>
      <c r="G27" s="142"/>
      <c r="H27" s="142"/>
      <c r="I27" s="142"/>
      <c r="J27" s="142"/>
      <c r="K27" s="142"/>
      <c r="L27" s="142"/>
      <c r="M27" s="199"/>
      <c r="N27" s="199"/>
      <c r="O27" s="271"/>
      <c r="P27" s="271"/>
      <c r="Q27" s="142"/>
      <c r="R27" s="142"/>
      <c r="S27" s="142"/>
      <c r="T27" s="142"/>
      <c r="U27" s="142"/>
      <c r="V27" s="142"/>
      <c r="W27" s="199"/>
      <c r="X27" s="199"/>
    </row>
    <row r="28" spans="4:24" ht="16.149999999999999" customHeight="1" thickTop="1" thickBot="1" x14ac:dyDescent="0.25">
      <c r="D28" s="203" t="str">
        <f ca="1">"'"&amp;$A$1&amp;"'!"&amp;CELL("address",G28)&amp;":"&amp;CELL("address",OFFSET(G28,0,COUNT(REP.yearsrange)-1))</f>
        <v>'USER GUIDE'!$G$28:$K$28</v>
      </c>
      <c r="E28" s="273"/>
      <c r="F28" s="274"/>
      <c r="G28" s="275"/>
      <c r="H28" s="275"/>
      <c r="I28" s="275"/>
      <c r="J28" s="275"/>
      <c r="K28" s="275"/>
      <c r="L28" s="275"/>
      <c r="M28" s="276"/>
      <c r="N28" s="276"/>
      <c r="O28" s="273"/>
      <c r="P28" s="274"/>
      <c r="Q28" s="275"/>
      <c r="R28" s="275"/>
      <c r="S28" s="275"/>
      <c r="T28" s="275"/>
      <c r="U28" s="275"/>
      <c r="V28" s="275"/>
      <c r="W28" s="276"/>
      <c r="X28" s="276"/>
    </row>
    <row r="29" spans="4:24" ht="16.149999999999999" customHeight="1" thickTop="1" thickBot="1" x14ac:dyDescent="0.25">
      <c r="D29" s="203" t="str">
        <f ca="1">"'"&amp;$A$1&amp;"'!"&amp;CELL("address",G29)&amp;":"&amp;CELL("address",OFFSET(G29,0,COUNT(REP.yearsrange)-1))</f>
        <v>'USER GUIDE'!$G$29:$K$29</v>
      </c>
      <c r="E29" s="273"/>
      <c r="F29" s="274"/>
      <c r="G29" s="275"/>
      <c r="H29" s="275"/>
      <c r="I29" s="275"/>
      <c r="J29" s="275"/>
      <c r="K29" s="275"/>
      <c r="L29" s="275"/>
      <c r="M29" s="276"/>
      <c r="N29" s="276"/>
      <c r="O29" s="273"/>
      <c r="P29" s="274"/>
      <c r="Q29" s="275"/>
      <c r="R29" s="275"/>
      <c r="S29" s="275"/>
      <c r="T29" s="275"/>
      <c r="U29" s="275"/>
      <c r="V29" s="275"/>
      <c r="W29" s="276"/>
      <c r="X29" s="276"/>
    </row>
    <row r="30" spans="4:24" ht="16.149999999999999" customHeight="1" thickTop="1" thickBot="1" x14ac:dyDescent="0.25">
      <c r="D30" s="203" t="str">
        <f ca="1">"'"&amp;$A$1&amp;"'!"&amp;CELL("address",G30)&amp;":"&amp;CELL("address",OFFSET(G30,0,COUNT(REP.yearsrange)-1))</f>
        <v>'USER GUIDE'!$G$30:$K$30</v>
      </c>
      <c r="E30" s="273"/>
      <c r="F30" s="274"/>
      <c r="G30" s="275"/>
      <c r="H30" s="275"/>
      <c r="I30" s="275"/>
      <c r="J30" s="275"/>
      <c r="K30" s="275"/>
      <c r="L30" s="275"/>
      <c r="M30" s="276"/>
      <c r="N30" s="276"/>
      <c r="O30" s="273"/>
      <c r="P30" s="274"/>
      <c r="Q30" s="275"/>
      <c r="R30" s="275"/>
      <c r="S30" s="275"/>
      <c r="T30" s="275"/>
      <c r="U30" s="275"/>
      <c r="V30" s="275"/>
      <c r="W30" s="276"/>
      <c r="X30" s="276"/>
    </row>
    <row r="31" spans="4:24" ht="16.149999999999999" customHeight="1" thickTop="1" thickBot="1" x14ac:dyDescent="0.25">
      <c r="D31" s="203" t="str">
        <f ca="1">"'"&amp;$A$1&amp;"'!"&amp;CELL("address",G31)&amp;":"&amp;CELL("address",OFFSET(G31,0,COUNT(REP.yearsrange)-1))</f>
        <v>'USER GUIDE'!$G$31:$K$31</v>
      </c>
      <c r="E31" s="273"/>
      <c r="F31" s="274"/>
      <c r="G31" s="275"/>
      <c r="H31" s="275"/>
      <c r="I31" s="275"/>
      <c r="J31" s="275"/>
      <c r="K31" s="275"/>
      <c r="L31" s="275"/>
      <c r="M31" s="276"/>
      <c r="N31" s="276"/>
      <c r="O31" s="273"/>
      <c r="P31" s="274"/>
      <c r="Q31" s="275"/>
      <c r="R31" s="275"/>
      <c r="S31" s="275"/>
      <c r="T31" s="275"/>
      <c r="U31" s="275"/>
      <c r="V31" s="275"/>
      <c r="W31" s="276"/>
      <c r="X31" s="276"/>
    </row>
    <row r="32" spans="4:24" ht="16.149999999999999" customHeight="1" thickTop="1" thickBot="1" x14ac:dyDescent="0.25">
      <c r="D32" s="203" t="str">
        <f ca="1">"'"&amp;$A$1&amp;"'!"&amp;CELL("address",G32)&amp;":"&amp;CELL("address",OFFSET(G32,0,COUNT(REP.yearsrange)-1))</f>
        <v>'USER GUIDE'!$G$32:$K$32</v>
      </c>
      <c r="E32" s="250"/>
      <c r="F32" s="252"/>
      <c r="G32" s="553"/>
      <c r="H32" s="553"/>
      <c r="I32" s="554"/>
      <c r="J32" s="554"/>
      <c r="K32" s="554"/>
      <c r="L32" s="554"/>
      <c r="M32" s="554"/>
      <c r="N32" s="554"/>
      <c r="O32" s="554"/>
      <c r="P32" s="554"/>
      <c r="Q32" s="554"/>
      <c r="R32" s="554"/>
      <c r="S32" s="275"/>
      <c r="T32" s="546"/>
      <c r="U32" s="546"/>
      <c r="V32" s="546"/>
      <c r="W32" s="546"/>
      <c r="X32" s="547"/>
    </row>
    <row r="33" spans="4:24" ht="16.149999999999999" customHeight="1" thickTop="1" thickBot="1" x14ac:dyDescent="0.25">
      <c r="D33" s="203"/>
      <c r="E33" s="555"/>
      <c r="F33" s="556"/>
      <c r="G33" s="142"/>
      <c r="H33" s="142"/>
      <c r="I33" s="142"/>
      <c r="J33" s="142"/>
      <c r="K33" s="142"/>
      <c r="L33" s="142"/>
      <c r="M33" s="142"/>
      <c r="N33" s="142"/>
      <c r="O33" s="142"/>
      <c r="P33" s="142"/>
      <c r="Q33" s="142"/>
      <c r="R33" s="142"/>
      <c r="S33" s="283"/>
      <c r="T33" s="548"/>
      <c r="U33" s="548"/>
      <c r="V33" s="548"/>
      <c r="W33" s="548"/>
      <c r="X33" s="549"/>
    </row>
    <row r="34" spans="4:24" ht="16.149999999999999" customHeight="1" thickTop="1" thickBot="1" x14ac:dyDescent="0.25">
      <c r="D34" s="203"/>
      <c r="E34" s="555"/>
      <c r="F34" s="556"/>
      <c r="G34" s="142"/>
      <c r="H34" s="142"/>
      <c r="I34" s="142"/>
      <c r="J34" s="142"/>
      <c r="K34" s="142"/>
      <c r="L34" s="142"/>
      <c r="M34" s="142"/>
      <c r="N34" s="142"/>
      <c r="O34" s="142"/>
      <c r="P34" s="142"/>
      <c r="Q34" s="142"/>
      <c r="R34" s="142"/>
      <c r="S34" s="283"/>
      <c r="T34" s="283"/>
      <c r="U34" s="283"/>
      <c r="V34" s="283"/>
      <c r="W34" s="284"/>
      <c r="X34" s="285"/>
    </row>
    <row r="35" spans="4:24" ht="16.149999999999999" customHeight="1" thickTop="1" thickBot="1" x14ac:dyDescent="0.25">
      <c r="D35" s="203"/>
      <c r="E35" s="555"/>
      <c r="F35" s="556"/>
      <c r="G35" s="142"/>
      <c r="H35" s="142"/>
      <c r="I35" s="142"/>
      <c r="J35" s="142"/>
      <c r="K35" s="142"/>
      <c r="L35" s="142"/>
      <c r="M35" s="142"/>
      <c r="N35" s="142"/>
      <c r="O35" s="142"/>
      <c r="P35" s="142"/>
      <c r="Q35" s="142"/>
      <c r="R35" s="142"/>
      <c r="S35" s="283"/>
      <c r="T35" s="283"/>
      <c r="U35" s="283"/>
      <c r="V35" s="283"/>
      <c r="W35" s="284"/>
      <c r="X35" s="285"/>
    </row>
    <row r="36" spans="4:24" ht="16.149999999999999" customHeight="1" thickTop="1" thickBot="1" x14ac:dyDescent="0.25">
      <c r="D36" s="203"/>
      <c r="E36" s="555"/>
      <c r="F36" s="556"/>
      <c r="G36" s="142"/>
      <c r="H36" s="142"/>
      <c r="I36" s="142"/>
      <c r="J36" s="142"/>
      <c r="K36" s="142"/>
      <c r="L36" s="142"/>
      <c r="M36" s="142"/>
      <c r="N36" s="142"/>
      <c r="O36" s="142"/>
      <c r="P36" s="142"/>
      <c r="Q36" s="142"/>
      <c r="R36" s="142"/>
      <c r="S36" s="283"/>
      <c r="T36" s="283"/>
      <c r="U36" s="283"/>
      <c r="V36" s="283"/>
      <c r="W36" s="284"/>
      <c r="X36" s="285"/>
    </row>
    <row r="37" spans="4:24" ht="16.149999999999999" customHeight="1" thickTop="1" thickBot="1" x14ac:dyDescent="0.25">
      <c r="D37" s="203"/>
      <c r="E37" s="557"/>
      <c r="F37" s="558"/>
      <c r="G37" s="142"/>
      <c r="H37" s="142"/>
      <c r="I37" s="142"/>
      <c r="J37" s="142"/>
      <c r="K37" s="142"/>
      <c r="L37" s="142"/>
      <c r="M37" s="142"/>
      <c r="N37" s="142"/>
      <c r="O37" s="142"/>
      <c r="P37" s="142"/>
      <c r="Q37" s="142"/>
      <c r="R37" s="142"/>
      <c r="S37" s="283"/>
      <c r="T37" s="283"/>
      <c r="U37" s="283"/>
      <c r="V37" s="283"/>
      <c r="W37" s="284"/>
      <c r="X37" s="285"/>
    </row>
    <row r="38" spans="4:24" s="181"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247"/>
      <c r="H40" s="247"/>
      <c r="I40" s="247"/>
      <c r="J40" s="247"/>
      <c r="K40" s="247"/>
      <c r="L40" s="247"/>
      <c r="M40" s="247"/>
      <c r="N40" s="247"/>
      <c r="O40" s="247"/>
      <c r="P40" s="247"/>
      <c r="Q40" s="247"/>
      <c r="R40" s="247"/>
      <c r="S40" s="247"/>
      <c r="T40" s="247"/>
      <c r="U40" s="247"/>
      <c r="V40" s="247"/>
    </row>
    <row r="41" spans="4:24" ht="16.149999999999999" customHeight="1" x14ac:dyDescent="0.2">
      <c r="G41" s="247"/>
      <c r="H41" s="247"/>
      <c r="I41" s="247"/>
      <c r="J41" s="247"/>
      <c r="K41" s="247"/>
      <c r="L41" s="247"/>
      <c r="M41" s="247"/>
      <c r="N41" s="247"/>
      <c r="O41" s="247"/>
      <c r="P41" s="247"/>
      <c r="Q41" s="247"/>
      <c r="R41" s="247"/>
      <c r="S41" s="247"/>
      <c r="T41" s="247"/>
      <c r="U41" s="247"/>
      <c r="V41" s="247"/>
    </row>
    <row r="70" spans="7:23" ht="16.149999999999999" customHeight="1" x14ac:dyDescent="0.2">
      <c r="G70" s="118" t="s">
        <v>44</v>
      </c>
      <c r="H70" s="118" t="s">
        <v>44</v>
      </c>
      <c r="J70" s="118" t="s">
        <v>49</v>
      </c>
      <c r="K70" s="118" t="s">
        <v>49</v>
      </c>
      <c r="M70" s="118" t="s">
        <v>19</v>
      </c>
      <c r="N70" s="118" t="s">
        <v>19</v>
      </c>
      <c r="P70" s="118" t="s">
        <v>97</v>
      </c>
      <c r="S70" s="118" t="s">
        <v>73</v>
      </c>
      <c r="T70" s="118" t="s">
        <v>73</v>
      </c>
      <c r="V70" s="118" t="s">
        <v>55</v>
      </c>
      <c r="W70" s="118" t="s">
        <v>55</v>
      </c>
    </row>
  </sheetData>
  <sheetProtection algorithmName="SHA-512" hashValue="VVP0eeyObaDNoMQNNSkAKc0YcoUHCkQGQOsFGjbkm4M9NueGwJIh0x3cTtnFqVv0v/3W8HLd3B6TgZ4G3x7MrQ==" saltValue="XGgoueRmDuclgOfx424hXg==" spinCount="100000" sheet="1" objects="1" scenarios="1"/>
  <mergeCells count="1">
    <mergeCell ref="S6:X7"/>
  </mergeCells>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1">
    <tabColor rgb="FFFFC000"/>
    <outlinePr showOutlineSymbols="0"/>
    <pageSetUpPr autoPageBreaks="0" fitToPage="1"/>
  </sheetPr>
  <dimension ref="A1:AA68"/>
  <sheetViews>
    <sheetView showGridLines="0" showRowColHeaders="0" showZeros="0" showOutlineSymbols="0" topLeftCell="A2" zoomScaleNormal="100" workbookViewId="0">
      <pane ySplit="6" topLeftCell="A14" activePane="bottomLeft" state="frozen"/>
      <selection activeCell="M48" sqref="M48"/>
      <selection pane="bottomLeft" activeCell="E6" sqref="E6"/>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7" ht="16.149999999999999" hidden="1" customHeight="1" x14ac:dyDescent="0.2">
      <c r="A1" s="117" t="str">
        <f ca="1">MID(CELL("filename",A1),FIND("]",CELL("filename",A1))+1,255)</f>
        <v>COMPARATIVE HEADLINES</v>
      </c>
      <c r="E1" s="120"/>
      <c r="F1" s="121"/>
      <c r="G1" s="121"/>
      <c r="H1" s="121"/>
      <c r="I1" s="121"/>
      <c r="J1" s="121"/>
      <c r="K1" s="121"/>
      <c r="L1" s="121"/>
      <c r="M1" s="121"/>
      <c r="N1" s="121"/>
      <c r="O1" s="121"/>
      <c r="P1" s="121"/>
      <c r="Q1" s="121"/>
      <c r="R1" s="121"/>
      <c r="S1" s="121"/>
      <c r="T1" s="121"/>
      <c r="U1" s="121"/>
      <c r="V1" s="121"/>
      <c r="W1" s="121"/>
      <c r="X1" s="122"/>
    </row>
    <row r="2" spans="1:27" ht="16.149999999999999" customHeight="1" thickTop="1" x14ac:dyDescent="0.2">
      <c r="A2" s="625">
        <f>IF(($A$3/1000000)&gt;1,1000000,IF(($A$3/1000)&gt;1,1000,1))</f>
        <v>1000</v>
      </c>
      <c r="B2" s="625">
        <f>IF((B3/1000000)&gt;1,1000000,IF((B3/1000)&gt;1,1000,1))</f>
        <v>1</v>
      </c>
      <c r="C2" s="625">
        <f>B2</f>
        <v>1</v>
      </c>
      <c r="D2" s="626"/>
      <c r="E2" s="123"/>
      <c r="F2" s="124"/>
      <c r="G2" s="124"/>
      <c r="H2" s="124"/>
      <c r="I2" s="124"/>
      <c r="J2" s="124"/>
      <c r="K2" s="124"/>
      <c r="L2" s="124"/>
      <c r="M2" s="124"/>
      <c r="N2" s="124"/>
      <c r="O2" s="124"/>
      <c r="P2" s="124"/>
      <c r="Q2" s="124"/>
      <c r="R2" s="124"/>
      <c r="S2" s="124"/>
      <c r="T2" s="124"/>
      <c r="U2" s="124"/>
      <c r="V2" s="124"/>
      <c r="W2" s="124"/>
      <c r="X2" s="125"/>
    </row>
    <row r="3" spans="1:27" ht="26.45" customHeight="1" x14ac:dyDescent="0.2">
      <c r="A3" s="668">
        <f>VLOOKUP(FOCUSYEAR&amp;"."&amp;$E16&amp;"."&amp;V$68,REP.data,18,FALSE)</f>
        <v>94627.891540846758</v>
      </c>
      <c r="B3" s="627">
        <f>VLOOKUP(FOCUSYEAR&amp;"."&amp;$E14&amp;"."&amp;V$68,REP.data,18,FALSE)</f>
        <v>700.77906247732744</v>
      </c>
      <c r="C3" s="627">
        <f>VLOOKUP(FOCUSYEAR&amp;"."&amp;$E13&amp;"."&amp;V$68,REP.data,18,FALSE)</f>
        <v>1749.0039133046166</v>
      </c>
      <c r="D3" s="626"/>
      <c r="E3" s="126"/>
      <c r="F3" s="127"/>
      <c r="G3" s="127"/>
      <c r="H3" s="127"/>
      <c r="I3" s="127"/>
      <c r="J3" s="127"/>
      <c r="K3" s="127"/>
      <c r="L3" s="127"/>
      <c r="M3" s="127"/>
      <c r="N3" s="127"/>
      <c r="O3" s="127"/>
      <c r="P3" s="127"/>
      <c r="Q3" s="127"/>
      <c r="R3" s="127"/>
      <c r="S3" s="127"/>
      <c r="T3" s="127"/>
      <c r="U3" s="127"/>
      <c r="V3" s="127"/>
      <c r="W3" s="127"/>
      <c r="X3" s="128"/>
    </row>
    <row r="4" spans="1:27" ht="26.45" customHeight="1" x14ac:dyDescent="0.2">
      <c r="A4" s="628" t="str">
        <f>IF(A$2=1,"£000s",IF(A$2=1000,"£M","£Bn"))</f>
        <v>£M</v>
      </c>
      <c r="B4" s="628" t="str">
        <f>IF(B$2=1,"000s",IF(B$2=1000,"M","Bn"))</f>
        <v>000s</v>
      </c>
      <c r="C4" s="628" t="str">
        <f>IF(C$2=1,"000s",IF(C$2=1000,"M","Bn"))</f>
        <v>000s</v>
      </c>
      <c r="D4" s="626"/>
      <c r="E4" s="211"/>
      <c r="F4" s="212"/>
      <c r="G4" s="212"/>
      <c r="H4" s="212"/>
      <c r="I4" s="212"/>
      <c r="J4" s="212"/>
      <c r="K4" s="212"/>
      <c r="L4" s="212"/>
      <c r="M4" s="212"/>
      <c r="N4" s="212"/>
      <c r="O4" s="212"/>
      <c r="P4" s="212"/>
      <c r="Q4" s="212"/>
      <c r="R4" s="212"/>
      <c r="S4" s="212"/>
      <c r="T4" s="212"/>
      <c r="U4" s="212"/>
      <c r="V4" s="212"/>
      <c r="W4" s="212"/>
      <c r="X4" s="213"/>
    </row>
    <row r="5" spans="1:27"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7" ht="16.149999999999999" customHeight="1" thickTop="1" x14ac:dyDescent="0.2">
      <c r="E6" s="368" t="str">
        <f>REP.title1</f>
        <v>STEAM FINAL TREND REPORT FOR 2009-2013</v>
      </c>
      <c r="F6" s="388"/>
      <c r="G6" s="388"/>
      <c r="H6" s="388"/>
      <c r="I6" s="388"/>
      <c r="J6" s="388"/>
      <c r="K6" s="388"/>
      <c r="L6" s="388"/>
      <c r="M6" s="388"/>
      <c r="N6" s="388"/>
      <c r="O6" s="389"/>
      <c r="P6" s="849" t="str">
        <f>"Comparing "&amp;FOCUSYEAR&amp;" and "&amp;COMPARISONYEAR</f>
        <v>Comparing 2013 and 2012</v>
      </c>
      <c r="Q6" s="850"/>
      <c r="R6" s="851"/>
      <c r="S6" s="828" t="str">
        <f ca="1">$A$1</f>
        <v>COMPARATIVE HEADLINES</v>
      </c>
      <c r="T6" s="829"/>
      <c r="U6" s="829"/>
      <c r="V6" s="829"/>
      <c r="W6" s="829"/>
      <c r="X6" s="830"/>
    </row>
    <row r="7" spans="1:27" ht="16.149999999999999" customHeight="1" thickBot="1" x14ac:dyDescent="0.25">
      <c r="E7" s="369" t="str">
        <f>REP.title2</f>
        <v>MORAY HIE</v>
      </c>
      <c r="F7" s="370"/>
      <c r="G7" s="370"/>
      <c r="H7" s="370"/>
      <c r="I7" s="371"/>
      <c r="J7" s="371"/>
      <c r="K7" s="371"/>
      <c r="L7" s="371"/>
      <c r="M7" s="371"/>
      <c r="N7" s="371"/>
      <c r="O7" s="390"/>
      <c r="P7" s="852" t="str">
        <f>IF(REP.indexed="YES",COMPARISONYEAR&amp;" in "&amp;FOCUSYEAR&amp;" prices ("&amp;ROUND(VALUE(INDEX(GTS_SHEET!$F$19:$F$30,GTS_SHEET!J33)),3)&amp;")","All £'s Historic Prices")</f>
        <v>All £'s Historic Prices</v>
      </c>
      <c r="Q7" s="853"/>
      <c r="R7" s="854"/>
      <c r="S7" s="831"/>
      <c r="T7" s="832"/>
      <c r="U7" s="832"/>
      <c r="V7" s="832"/>
      <c r="W7" s="832"/>
      <c r="X7" s="833"/>
    </row>
    <row r="8" spans="1:27" ht="16.149999999999999" customHeight="1" thickTop="1" thickBot="1" x14ac:dyDescent="0.25">
      <c r="E8" s="846" t="str">
        <f>"KEY PERFORMANCE INDICATORS BY TYPE OF VISITOR - COMPARING "&amp;FOCUSYEAR&amp;" &amp; "&amp;COMPARISONYEAR&amp;IF(REP.indexed="YES"," - INDEXED TO "&amp;FOCUSYEAR," - IN HISTORIC PRICES")</f>
        <v>KEY PERFORMANCE INDICATORS BY TYPE OF VISITOR - COMPARING 2013 &amp; 2012 - IN HISTORIC PRICES</v>
      </c>
      <c r="F8" s="847"/>
      <c r="G8" s="847"/>
      <c r="H8" s="847"/>
      <c r="I8" s="847"/>
      <c r="J8" s="847"/>
      <c r="K8" s="847"/>
      <c r="L8" s="847"/>
      <c r="M8" s="847"/>
      <c r="N8" s="847"/>
      <c r="O8" s="847"/>
      <c r="P8" s="847"/>
      <c r="Q8" s="847"/>
      <c r="R8" s="847"/>
      <c r="S8" s="847"/>
      <c r="T8" s="847"/>
      <c r="U8" s="847"/>
      <c r="V8" s="847"/>
      <c r="W8" s="847"/>
      <c r="X8" s="848"/>
      <c r="AA8" s="118">
        <f>COMPARISONYEAR</f>
        <v>2012</v>
      </c>
    </row>
    <row r="9" spans="1:27" s="132" customFormat="1" ht="16.149999999999999" customHeight="1" thickTop="1" thickBot="1" x14ac:dyDescent="0.25">
      <c r="E9" s="812" t="s">
        <v>92</v>
      </c>
      <c r="F9" s="813"/>
      <c r="G9" s="286"/>
      <c r="H9" s="287"/>
      <c r="I9" s="287"/>
      <c r="J9" s="287"/>
      <c r="K9" s="287"/>
      <c r="L9" s="287"/>
      <c r="M9" s="287"/>
      <c r="N9" s="287"/>
      <c r="O9" s="287"/>
      <c r="P9" s="855" t="s">
        <v>97</v>
      </c>
      <c r="Q9" s="855"/>
      <c r="R9" s="856"/>
      <c r="S9" s="859" t="s">
        <v>99</v>
      </c>
      <c r="T9" s="860"/>
      <c r="U9" s="861"/>
      <c r="V9" s="779" t="s">
        <v>98</v>
      </c>
      <c r="W9" s="780"/>
      <c r="X9" s="781"/>
    </row>
    <row r="10" spans="1:27" s="132" customFormat="1" ht="16.149999999999999" customHeight="1" thickTop="1" thickBot="1" x14ac:dyDescent="0.25">
      <c r="E10" s="785" t="str">
        <f>REP.highlightup</f>
        <v>An increase of 3% or more</v>
      </c>
      <c r="F10" s="786"/>
      <c r="G10" s="787" t="s">
        <v>114</v>
      </c>
      <c r="H10" s="788"/>
      <c r="I10" s="788"/>
      <c r="J10" s="788"/>
      <c r="K10" s="788"/>
      <c r="L10" s="789"/>
      <c r="M10" s="790" t="s">
        <v>142</v>
      </c>
      <c r="N10" s="791"/>
      <c r="O10" s="792"/>
      <c r="P10" s="855"/>
      <c r="Q10" s="855"/>
      <c r="R10" s="856"/>
      <c r="S10" s="859"/>
      <c r="T10" s="860"/>
      <c r="U10" s="861"/>
      <c r="V10" s="779"/>
      <c r="W10" s="780"/>
      <c r="X10" s="781"/>
    </row>
    <row r="11" spans="1:27" s="132" customFormat="1" ht="16.149999999999999" customHeight="1" thickTop="1" thickBot="1" x14ac:dyDescent="0.25">
      <c r="E11" s="796" t="str">
        <f>REP.highlightsame</f>
        <v>Less than 3% change</v>
      </c>
      <c r="F11" s="797"/>
      <c r="G11" s="798" t="s">
        <v>112</v>
      </c>
      <c r="H11" s="799"/>
      <c r="I11" s="800"/>
      <c r="J11" s="801" t="s">
        <v>113</v>
      </c>
      <c r="K11" s="802"/>
      <c r="L11" s="802"/>
      <c r="M11" s="793"/>
      <c r="N11" s="794"/>
      <c r="O11" s="795"/>
      <c r="P11" s="857"/>
      <c r="Q11" s="857"/>
      <c r="R11" s="858"/>
      <c r="S11" s="862"/>
      <c r="T11" s="863"/>
      <c r="U11" s="864"/>
      <c r="V11" s="782"/>
      <c r="W11" s="783"/>
      <c r="X11" s="784"/>
    </row>
    <row r="12" spans="1:27" ht="16.149999999999999" customHeight="1" thickTop="1" thickBot="1" x14ac:dyDescent="0.25">
      <c r="E12" s="777" t="str">
        <f>REP.highlightdown</f>
        <v>A Fall of 3% or more</v>
      </c>
      <c r="F12" s="778"/>
      <c r="G12" s="288">
        <f>FOCUSYEAR</f>
        <v>2013</v>
      </c>
      <c r="H12" s="289">
        <f>COMPARISONYEAR</f>
        <v>2012</v>
      </c>
      <c r="I12" s="290" t="s">
        <v>115</v>
      </c>
      <c r="J12" s="288">
        <f>FOCUSYEAR</f>
        <v>2013</v>
      </c>
      <c r="K12" s="289">
        <f>COMPARISONYEAR</f>
        <v>2012</v>
      </c>
      <c r="L12" s="290" t="s">
        <v>115</v>
      </c>
      <c r="M12" s="288">
        <f>FOCUSYEAR</f>
        <v>2013</v>
      </c>
      <c r="N12" s="289">
        <f>COMPARISONYEAR</f>
        <v>2012</v>
      </c>
      <c r="O12" s="290" t="s">
        <v>115</v>
      </c>
      <c r="P12" s="288">
        <f>FOCUSYEAR</f>
        <v>2013</v>
      </c>
      <c r="Q12" s="289">
        <f>COMPARISONYEAR</f>
        <v>2012</v>
      </c>
      <c r="R12" s="290" t="s">
        <v>115</v>
      </c>
      <c r="S12" s="288">
        <f>FOCUSYEAR</f>
        <v>2013</v>
      </c>
      <c r="T12" s="289">
        <f>COMPARISONYEAR</f>
        <v>2012</v>
      </c>
      <c r="U12" s="290" t="s">
        <v>115</v>
      </c>
      <c r="V12" s="288">
        <f>FOCUSYEAR</f>
        <v>2013</v>
      </c>
      <c r="W12" s="289">
        <f>COMPARISONYEAR</f>
        <v>2012</v>
      </c>
      <c r="X12" s="290" t="s">
        <v>115</v>
      </c>
    </row>
    <row r="13" spans="1:27" ht="16.149999999999999" customHeight="1" thickTop="1" thickBot="1" x14ac:dyDescent="0.25">
      <c r="E13" s="291" t="s">
        <v>175</v>
      </c>
      <c r="F13" s="201" t="str">
        <f>$C$4</f>
        <v>000s</v>
      </c>
      <c r="G13" s="662">
        <f>VLOOKUP(FOCUSYEAR&amp;"."&amp;$E13&amp;"."&amp;G$68,REP.data,18,FALSE)/$B$2</f>
        <v>437.4696870178675</v>
      </c>
      <c r="H13" s="663">
        <f>VLOOKUP(COMPARISONYEAR&amp;"."&amp;$E13&amp;"."&amp;H$68,REP.data,18,FALSE)/$B$2</f>
        <v>411.89808138088182</v>
      </c>
      <c r="I13" s="202">
        <f>IFERROR(G13/H13-1,"")</f>
        <v>6.2082361615420245E-2</v>
      </c>
      <c r="J13" s="662">
        <f>VLOOKUP(FOCUSYEAR&amp;"."&amp;$E13&amp;"."&amp;J$68,REP.data,18,FALSE)/$B$2</f>
        <v>498.23014280166751</v>
      </c>
      <c r="K13" s="663">
        <f>VLOOKUP(COMPARISONYEAR&amp;"."&amp;$E13&amp;"."&amp;K$68,REP.data,18,FALSE)/$B$2</f>
        <v>480.08576382465372</v>
      </c>
      <c r="L13" s="202">
        <f>IFERROR(J13/K13-1,"")</f>
        <v>3.779403669974446E-2</v>
      </c>
      <c r="M13" s="662">
        <f>VLOOKUP(FOCUSYEAR&amp;"."&amp;$E13&amp;"."&amp;M$68,REP.data,18,FALSE)/$B$2</f>
        <v>524.121236602468</v>
      </c>
      <c r="N13" s="663">
        <f>VLOOKUP(COMPARISONYEAR&amp;"."&amp;$E13&amp;"."&amp;N$68,REP.data,18,FALSE)/$B$2</f>
        <v>490.23650520527463</v>
      </c>
      <c r="O13" s="202">
        <f>IFERROR(M13/N13-1,"")</f>
        <v>6.9119151751061425E-2</v>
      </c>
      <c r="P13" s="662">
        <f t="shared" ref="P13" si="0">SUM(G13,J13,M13)</f>
        <v>1459.821066422003</v>
      </c>
      <c r="Q13" s="663">
        <f t="shared" ref="Q13" si="1">SUM(H13,K13,N13)</f>
        <v>1382.2203504108102</v>
      </c>
      <c r="R13" s="202">
        <f>IFERROR(P13/Q13-1,"")</f>
        <v>5.6142073142049442E-2</v>
      </c>
      <c r="S13" s="662">
        <f>VLOOKUP(FOCUSYEAR&amp;"."&amp;$E13&amp;"."&amp;S$68,REP.data,18,FALSE)/$B$2</f>
        <v>289.1828468826136</v>
      </c>
      <c r="T13" s="663">
        <f>VLOOKUP(COMPARISONYEAR&amp;"."&amp;$E13&amp;"."&amp;T$68,REP.data,18,FALSE)/$B$2</f>
        <v>257.7463537710118</v>
      </c>
      <c r="U13" s="202">
        <f>IFERROR(S13/T13-1,"")</f>
        <v>0.1219667811073315</v>
      </c>
      <c r="V13" s="662">
        <f>VLOOKUP(FOCUSYEAR&amp;"."&amp;$E13&amp;"."&amp;V$68,REP.data,18,FALSE)/$B$2</f>
        <v>1749.0039133046166</v>
      </c>
      <c r="W13" s="663">
        <f>VLOOKUP(COMPARISONYEAR&amp;"."&amp;$E13&amp;"."&amp;W$68,REP.data,18,FALSE)/$B$2</f>
        <v>1639.9667041818218</v>
      </c>
      <c r="X13" s="202">
        <f t="shared" ref="X13" si="2">IFERROR(V13/W13-1,"")</f>
        <v>6.6487452973744032E-2</v>
      </c>
    </row>
    <row r="14" spans="1:27" ht="16.149999999999999" customHeight="1" thickTop="1" thickBot="1" x14ac:dyDescent="0.25">
      <c r="E14" s="292" t="s">
        <v>176</v>
      </c>
      <c r="F14" s="201" t="str">
        <f>$B$4</f>
        <v>000s</v>
      </c>
      <c r="G14" s="662">
        <f>VLOOKUP(FOCUSYEAR&amp;"."&amp;$E14&amp;"."&amp;G$68,REP.data,18,FALSE)/$B$2</f>
        <v>228.66376542239146</v>
      </c>
      <c r="H14" s="663">
        <f>VLOOKUP(COMPARISONYEAR&amp;"."&amp;$E14&amp;"."&amp;H$68,REP.data,18,FALSE)/$B$2</f>
        <v>211.38015441960792</v>
      </c>
      <c r="I14" s="202">
        <f>IFERROR(G14/H14-1,"")</f>
        <v>8.1765533052237549E-2</v>
      </c>
      <c r="J14" s="662">
        <f>VLOOKUP(FOCUSYEAR&amp;"."&amp;$E14&amp;"."&amp;J$68,REP.data,18,FALSE)/$B$2</f>
        <v>66.886254634613451</v>
      </c>
      <c r="K14" s="663">
        <f>VLOOKUP(COMPARISONYEAR&amp;"."&amp;$E14&amp;"."&amp;K$68,REP.data,18,FALSE)/$B$2</f>
        <v>66.083995148370562</v>
      </c>
      <c r="L14" s="202">
        <f>IFERROR(J14/K14-1,"")</f>
        <v>1.2139996748708581E-2</v>
      </c>
      <c r="M14" s="662">
        <f>VLOOKUP(FOCUSYEAR&amp;"."&amp;$E14&amp;"."&amp;M$68,REP.data,18,FALSE)/$B$2</f>
        <v>116.04619553770891</v>
      </c>
      <c r="N14" s="663">
        <f>VLOOKUP(COMPARISONYEAR&amp;"."&amp;$E14&amp;"."&amp;N$68,REP.data,18,FALSE)/$B$2</f>
        <v>108.5268483582486</v>
      </c>
      <c r="O14" s="202">
        <f>IFERROR(M14/N14-1,"")</f>
        <v>6.9285594239674619E-2</v>
      </c>
      <c r="P14" s="662">
        <f t="shared" ref="P14:Q17" si="3">SUM(G14,J14,M14)</f>
        <v>411.59621559471384</v>
      </c>
      <c r="Q14" s="663">
        <f t="shared" si="3"/>
        <v>385.99099792622712</v>
      </c>
      <c r="R14" s="202">
        <f>IFERROR(P14/Q14-1,"")</f>
        <v>6.6336307857056687E-2</v>
      </c>
      <c r="S14" s="662">
        <f>VLOOKUP(FOCUSYEAR&amp;"."&amp;$E14&amp;"."&amp;S$68,REP.data,18,FALSE)/$B$2</f>
        <v>289.1828468826136</v>
      </c>
      <c r="T14" s="663">
        <f>VLOOKUP(COMPARISONYEAR&amp;"."&amp;$E14&amp;"."&amp;T$68,REP.data,18,FALSE)/$B$2</f>
        <v>257.7463537710118</v>
      </c>
      <c r="U14" s="202">
        <f>IFERROR(S14/T14-1,"")</f>
        <v>0.1219667811073315</v>
      </c>
      <c r="V14" s="662">
        <f>VLOOKUP(FOCUSYEAR&amp;"."&amp;$E14&amp;"."&amp;V$68,REP.data,18,FALSE)/$B$2</f>
        <v>700.77906247732744</v>
      </c>
      <c r="W14" s="663">
        <f>VLOOKUP(COMPARISONYEAR&amp;"."&amp;$E14&amp;"."&amp;W$68,REP.data,18,FALSE)/$B$2</f>
        <v>643.73735169723886</v>
      </c>
      <c r="X14" s="202">
        <f t="shared" ref="X14:X18" si="4">IFERROR(V14/W14-1,"")</f>
        <v>8.8610223765478002E-2</v>
      </c>
    </row>
    <row r="15" spans="1:27" ht="16.149999999999999" customHeight="1" thickTop="1" thickBot="1" x14ac:dyDescent="0.25">
      <c r="E15" s="293" t="s">
        <v>45</v>
      </c>
      <c r="F15" s="201" t="str">
        <f>$A$4</f>
        <v>£M</v>
      </c>
      <c r="G15" s="294"/>
      <c r="H15" s="295"/>
      <c r="I15" s="296"/>
      <c r="J15" s="295"/>
      <c r="K15" s="295"/>
      <c r="L15" s="296"/>
      <c r="M15" s="295"/>
      <c r="N15" s="295"/>
      <c r="O15" s="296"/>
      <c r="P15" s="295"/>
      <c r="Q15" s="295"/>
      <c r="R15" s="296"/>
      <c r="S15" s="295"/>
      <c r="T15" s="295"/>
      <c r="U15" s="297"/>
      <c r="V15" s="662">
        <f>VLOOKUP(FOCUSYEAR&amp;".Economic Impact."&amp;$E15,REP.data,18,FALSE)/$A$2</f>
        <v>72.147709963363582</v>
      </c>
      <c r="W15" s="663">
        <f>VLOOKUP(COMPARISONYEAR&amp;".Economic Impact."&amp;$E15,REP.data,18,FALSE)*INDEX(REP.indexationtoFOCUSYEAR,MATCH(VALUE(COMPARISONYEAR),REP.yearsrange))/$A$2</f>
        <v>66.42730208721261</v>
      </c>
      <c r="X15" s="202">
        <f t="shared" si="4"/>
        <v>8.6115312475593786E-2</v>
      </c>
    </row>
    <row r="16" spans="1:27" ht="16.149999999999999" customHeight="1" thickTop="1" thickBot="1" x14ac:dyDescent="0.25">
      <c r="E16" s="228" t="s">
        <v>18</v>
      </c>
      <c r="F16" s="201" t="str">
        <f>$A$4</f>
        <v>£M</v>
      </c>
      <c r="G16" s="662">
        <f>VLOOKUP(FOCUSYEAR&amp;"."&amp;$E16&amp;"."&amp;G$68,REP.data,18,FALSE)/$A$2</f>
        <v>45.078028695324306</v>
      </c>
      <c r="H16" s="663">
        <f>VLOOKUP(COMPARISONYEAR&amp;"."&amp;$E16&amp;"."&amp;H$68,REP.data,18,FALSE)*INDEX(REP.indexationtoFOCUSYEAR,MATCH(VALUE(COMPARISONYEAR),REP.yearsrange))/$A$2</f>
        <v>41.736637437189962</v>
      </c>
      <c r="I16" s="202">
        <f>IFERROR(G16/H16-1,"")</f>
        <v>8.005894732566432E-2</v>
      </c>
      <c r="J16" s="662">
        <f>VLOOKUP(FOCUSYEAR&amp;"."&amp;$E16&amp;"."&amp;J$68,REP.data,18,FALSE)/$A$2</f>
        <v>21.237500543131937</v>
      </c>
      <c r="K16" s="663">
        <f>VLOOKUP(COMPARISONYEAR&amp;"."&amp;$E16&amp;"."&amp;K$68,REP.data,18,FALSE)*INDEX(REP.indexationtoFOCUSYEAR,MATCH(VALUE(COMPARISONYEAR),REP.yearsrange))/$A$2</f>
        <v>20.369821044457552</v>
      </c>
      <c r="L16" s="202">
        <f>IFERROR(J16/K16-1,"")</f>
        <v>4.2596324080641512E-2</v>
      </c>
      <c r="M16" s="662">
        <f>VLOOKUP(FOCUSYEAR&amp;"."&amp;$E16&amp;"."&amp;M$68,REP.data,18,FALSE)/$A$2</f>
        <v>14.15486925382176</v>
      </c>
      <c r="N16" s="663">
        <f>VLOOKUP(COMPARISONYEAR&amp;"."&amp;$E16&amp;"."&amp;N$68,REP.data,18,FALSE)*INDEX(REP.indexationtoFOCUSYEAR,MATCH(VALUE(COMPARISONYEAR),REP.yearsrange))/$A$2</f>
        <v>12.783915354690112</v>
      </c>
      <c r="O16" s="202">
        <f>IFERROR(M16/N16-1,"")</f>
        <v>0.10724053320868387</v>
      </c>
      <c r="P16" s="662">
        <f t="shared" si="3"/>
        <v>80.470398492277994</v>
      </c>
      <c r="Q16" s="663">
        <f t="shared" si="3"/>
        <v>74.890373836337631</v>
      </c>
      <c r="R16" s="202">
        <f>IFERROR(P16/Q16-1,"")</f>
        <v>7.4509237570835385E-2</v>
      </c>
      <c r="S16" s="662">
        <f>VLOOKUP(FOCUSYEAR&amp;"."&amp;$E16&amp;"."&amp;S$68,REP.data,18,FALSE)/$A$2</f>
        <v>14.157493048568762</v>
      </c>
      <c r="T16" s="663">
        <f>VLOOKUP(COMPARISONYEAR&amp;"."&amp;$E16&amp;"."&amp;T$68,REP.data,18,FALSE)*INDEX(REP.indexationtoFOCUSYEAR,MATCH(VALUE(COMPARISONYEAR),REP.yearsrange))/$A$2</f>
        <v>12.221371811585849</v>
      </c>
      <c r="U16" s="202">
        <f>IFERROR(S16/T16-1,"")</f>
        <v>0.15842094216849478</v>
      </c>
      <c r="V16" s="662">
        <f>VLOOKUP(FOCUSYEAR&amp;"."&amp;$E16&amp;"."&amp;V$68,REP.data,18,FALSE)/$A$2</f>
        <v>94.627891540846761</v>
      </c>
      <c r="W16" s="663">
        <f>VLOOKUP(COMPARISONYEAR&amp;"."&amp;$E16&amp;"."&amp;W$68,REP.data,18,FALSE)*INDEX(REP.indexationtoFOCUSYEAR,MATCH(VALUE(COMPARISONYEAR),REP.yearsrange))/$A$2</f>
        <v>87.111745647923485</v>
      </c>
      <c r="X16" s="202">
        <f t="shared" si="4"/>
        <v>8.6281658541214723E-2</v>
      </c>
    </row>
    <row r="17" spans="5:24" ht="16.149999999999999" customHeight="1" thickTop="1" thickBot="1" x14ac:dyDescent="0.25">
      <c r="E17" s="301" t="s">
        <v>56</v>
      </c>
      <c r="F17" s="201" t="s">
        <v>60</v>
      </c>
      <c r="G17" s="299">
        <f>VLOOKUP(FOCUSYEAR&amp;".Employment."&amp;G$68,REP.data,18,FALSE)</f>
        <v>1374.7079044578929</v>
      </c>
      <c r="H17" s="300">
        <f>VLOOKUP(COMPARISONYEAR&amp;".Employment."&amp;H$68,REP.data,18,FALSE)</f>
        <v>1335.6281315751455</v>
      </c>
      <c r="I17" s="202">
        <f>IFERROR(G17/H17-1,"")</f>
        <v>2.9259471224718503E-2</v>
      </c>
      <c r="J17" s="299">
        <f>VLOOKUP(FOCUSYEAR&amp;".Employment."&amp;J$68,REP.data,18,FALSE)</f>
        <v>540.18453310661721</v>
      </c>
      <c r="K17" s="300">
        <f>VLOOKUP(COMPARISONYEAR&amp;".Employment."&amp;K$68,REP.data,18,FALSE)</f>
        <v>538.04412343627439</v>
      </c>
      <c r="L17" s="202">
        <f>IFERROR(J17/K17-1,"")</f>
        <v>3.9781303746482255E-3</v>
      </c>
      <c r="M17" s="299">
        <f>VLOOKUP(FOCUSYEAR&amp;".Employment."&amp;M$68,REP.data,18,FALSE)</f>
        <v>186.25324019077183</v>
      </c>
      <c r="N17" s="300">
        <f>VLOOKUP(COMPARISONYEAR&amp;".Employment."&amp;N$68,REP.data,18,FALSE)</f>
        <v>173.72573125282335</v>
      </c>
      <c r="O17" s="202">
        <f>IFERROR(M17/N17-1,"")</f>
        <v>7.2110843037507033E-2</v>
      </c>
      <c r="P17" s="299">
        <f t="shared" si="3"/>
        <v>2101.1456777552821</v>
      </c>
      <c r="Q17" s="300">
        <f t="shared" si="3"/>
        <v>2047.3979862642434</v>
      </c>
      <c r="R17" s="202">
        <f>IFERROR(P17/Q17-1,"")</f>
        <v>2.6251706728064539E-2</v>
      </c>
      <c r="S17" s="299">
        <f>VLOOKUP(FOCUSYEAR&amp;".Employment."&amp;S$68,REP.data,18,FALSE)</f>
        <v>186.39756808206346</v>
      </c>
      <c r="T17" s="300">
        <f>VLOOKUP(COMPARISONYEAR&amp;".Employment."&amp;T$68,REP.data,18,FALSE)</f>
        <v>166.21967008285284</v>
      </c>
      <c r="U17" s="202">
        <f>IFERROR(S17/T17-1,"")</f>
        <v>0.12139296142961209</v>
      </c>
      <c r="V17" s="299">
        <f>SUM(P17,S17)</f>
        <v>2287.5432458373457</v>
      </c>
      <c r="W17" s="300">
        <f>SUM(Q17,T17)</f>
        <v>2213.6176563470963</v>
      </c>
      <c r="X17" s="202">
        <f t="shared" si="4"/>
        <v>3.3395825732724482E-2</v>
      </c>
    </row>
    <row r="18" spans="5:24" ht="16.149999999999999" customHeight="1" thickTop="1" thickBot="1" x14ac:dyDescent="0.25">
      <c r="E18" s="298" t="s">
        <v>76</v>
      </c>
      <c r="F18" s="201" t="s">
        <v>60</v>
      </c>
      <c r="G18" s="294"/>
      <c r="H18" s="295"/>
      <c r="I18" s="296"/>
      <c r="J18" s="295"/>
      <c r="K18" s="295"/>
      <c r="L18" s="296"/>
      <c r="M18" s="295"/>
      <c r="N18" s="295"/>
      <c r="O18" s="296"/>
      <c r="P18" s="295"/>
      <c r="Q18" s="295"/>
      <c r="R18" s="296"/>
      <c r="S18" s="295"/>
      <c r="T18" s="295"/>
      <c r="U18" s="297"/>
      <c r="V18" s="299">
        <f>VLOOKUP(FOCUSYEAR&amp;".Employment."&amp;V$68,REP.data,18,FALSE)</f>
        <v>2680.4146422707395</v>
      </c>
      <c r="W18" s="300">
        <f>VLOOKUP(COMPARISONYEAR&amp;".Employment."&amp;W$68,REP.data,18,FALSE)</f>
        <v>2586.9651405550908</v>
      </c>
      <c r="X18" s="202">
        <f t="shared" si="4"/>
        <v>3.6123216447979223E-2</v>
      </c>
    </row>
    <row r="19" spans="5:24" ht="16.149999999999999" customHeight="1" thickTop="1" thickBot="1" x14ac:dyDescent="0.25">
      <c r="E19" s="846" t="str">
        <f>"PERCENTAGE CHANGE BY VISITOR TYPE AND PERFORMANCE MEASURE - COMPARING "&amp;FOCUSYEAR&amp;" &amp; "&amp;COMPARISONYEAR&amp;IF(REP.indexed="YES"," - INDEXED TO "&amp;FOCUSYEAR," - IN HISTORIC PRICES")</f>
        <v>PERCENTAGE CHANGE BY VISITOR TYPE AND PERFORMANCE MEASURE - COMPARING 2013 &amp; 2012 - IN HISTORIC PRICES</v>
      </c>
      <c r="F19" s="847"/>
      <c r="G19" s="847"/>
      <c r="H19" s="847"/>
      <c r="I19" s="847"/>
      <c r="J19" s="847"/>
      <c r="K19" s="847"/>
      <c r="L19" s="847"/>
      <c r="M19" s="847"/>
      <c r="N19" s="847"/>
      <c r="O19" s="847"/>
      <c r="P19" s="847"/>
      <c r="Q19" s="847"/>
      <c r="R19" s="847"/>
      <c r="S19" s="847"/>
      <c r="T19" s="847"/>
      <c r="U19" s="847"/>
      <c r="V19" s="847"/>
      <c r="W19" s="847"/>
      <c r="X19" s="848"/>
    </row>
    <row r="20" spans="5:24" ht="16.149999999999999" customHeight="1" thickTop="1" thickBot="1" x14ac:dyDescent="0.25">
      <c r="E20" s="812" t="s">
        <v>92</v>
      </c>
      <c r="F20" s="813"/>
      <c r="G20" s="814" t="s">
        <v>112</v>
      </c>
      <c r="H20" s="814"/>
      <c r="I20" s="814"/>
      <c r="J20" s="815" t="s">
        <v>113</v>
      </c>
      <c r="K20" s="815"/>
      <c r="L20" s="815"/>
      <c r="M20" s="816" t="s">
        <v>19</v>
      </c>
      <c r="N20" s="816"/>
      <c r="O20" s="816"/>
      <c r="P20" s="817" t="s">
        <v>97</v>
      </c>
      <c r="Q20" s="817"/>
      <c r="R20" s="817"/>
      <c r="S20" s="818" t="s">
        <v>99</v>
      </c>
      <c r="T20" s="818"/>
      <c r="U20" s="818"/>
      <c r="V20" s="819" t="s">
        <v>98</v>
      </c>
      <c r="W20" s="819"/>
      <c r="X20" s="819"/>
    </row>
    <row r="21" spans="5:24" ht="24" customHeight="1" thickTop="1" thickBot="1" x14ac:dyDescent="0.25">
      <c r="E21" s="820" t="s">
        <v>175</v>
      </c>
      <c r="F21" s="821"/>
      <c r="G21" s="302"/>
      <c r="H21" s="303"/>
      <c r="I21" s="304"/>
      <c r="J21" s="302"/>
      <c r="K21" s="303"/>
      <c r="L21" s="304"/>
      <c r="M21" s="302"/>
      <c r="N21" s="303"/>
      <c r="O21" s="304"/>
      <c r="P21" s="302"/>
      <c r="Q21" s="303"/>
      <c r="R21" s="303"/>
      <c r="S21" s="302"/>
      <c r="T21" s="303"/>
      <c r="U21" s="304"/>
      <c r="V21" s="303"/>
      <c r="W21" s="303"/>
      <c r="X21" s="304"/>
    </row>
    <row r="22" spans="5:24" ht="24" customHeight="1" thickTop="1" thickBot="1" x14ac:dyDescent="0.25">
      <c r="E22" s="822" t="s">
        <v>176</v>
      </c>
      <c r="F22" s="823"/>
      <c r="G22" s="305"/>
      <c r="H22" s="189"/>
      <c r="I22" s="306"/>
      <c r="J22" s="305"/>
      <c r="K22" s="189"/>
      <c r="L22" s="306"/>
      <c r="M22" s="305"/>
      <c r="N22" s="189"/>
      <c r="O22" s="306"/>
      <c r="P22" s="305"/>
      <c r="Q22" s="189"/>
      <c r="R22" s="189"/>
      <c r="S22" s="305"/>
      <c r="T22" s="189"/>
      <c r="U22" s="306"/>
      <c r="V22" s="189"/>
      <c r="W22" s="189"/>
      <c r="X22" s="306"/>
    </row>
    <row r="23" spans="5:24" ht="24" customHeight="1" thickTop="1" thickBot="1" x14ac:dyDescent="0.25">
      <c r="E23" s="824" t="s">
        <v>77</v>
      </c>
      <c r="F23" s="825"/>
      <c r="G23" s="305"/>
      <c r="H23" s="189"/>
      <c r="I23" s="306"/>
      <c r="J23" s="305"/>
      <c r="K23" s="189"/>
      <c r="L23" s="306"/>
      <c r="M23" s="305"/>
      <c r="N23" s="189"/>
      <c r="O23" s="306"/>
      <c r="P23" s="305"/>
      <c r="Q23" s="189"/>
      <c r="R23" s="189"/>
      <c r="S23" s="305"/>
      <c r="T23" s="189"/>
      <c r="U23" s="306"/>
      <c r="V23" s="189"/>
      <c r="W23" s="189"/>
      <c r="X23" s="306"/>
    </row>
    <row r="24" spans="5:24" ht="24" customHeight="1" thickTop="1" thickBot="1" x14ac:dyDescent="0.25">
      <c r="E24" s="826" t="s">
        <v>56</v>
      </c>
      <c r="F24" s="827"/>
      <c r="G24" s="307"/>
      <c r="H24" s="190"/>
      <c r="I24" s="308"/>
      <c r="J24" s="307"/>
      <c r="K24" s="190"/>
      <c r="L24" s="308"/>
      <c r="M24" s="307"/>
      <c r="N24" s="190"/>
      <c r="O24" s="308"/>
      <c r="P24" s="307"/>
      <c r="Q24" s="190"/>
      <c r="R24" s="190"/>
      <c r="S24" s="307"/>
      <c r="T24" s="190"/>
      <c r="U24" s="308"/>
      <c r="V24" s="190"/>
      <c r="W24" s="190"/>
      <c r="X24" s="308"/>
    </row>
    <row r="25" spans="5:24" ht="16.149999999999999" customHeight="1" thickTop="1" thickBot="1" x14ac:dyDescent="0.25">
      <c r="E25" s="803" t="str">
        <f>"Sectoral Distribution of Economic Impact - "&amp;$F$16&amp;" including VAT "&amp;IF(REP.indexed="YES","Indexed to "&amp;FOCUSYEAR,"in Historic Prices ")</f>
        <v xml:space="preserve">Sectoral Distribution of Economic Impact - £M including VAT in Historic Prices </v>
      </c>
      <c r="F25" s="804"/>
      <c r="G25" s="804"/>
      <c r="H25" s="804"/>
      <c r="I25" s="804"/>
      <c r="J25" s="804"/>
      <c r="K25" s="804"/>
      <c r="L25" s="805"/>
      <c r="M25" s="806" t="s">
        <v>116</v>
      </c>
      <c r="N25" s="806"/>
      <c r="O25" s="806"/>
      <c r="P25" s="809" t="s">
        <v>140</v>
      </c>
      <c r="Q25" s="810"/>
      <c r="R25" s="810"/>
      <c r="S25" s="810"/>
      <c r="T25" s="810"/>
      <c r="U25" s="810"/>
      <c r="V25" s="810"/>
      <c r="W25" s="810"/>
      <c r="X25" s="811"/>
    </row>
    <row r="26" spans="5:24" ht="16.149999999999999" customHeight="1" thickTop="1" thickBot="1" x14ac:dyDescent="0.25">
      <c r="E26" s="305"/>
      <c r="F26" s="189"/>
      <c r="G26" s="189"/>
      <c r="H26" s="189"/>
      <c r="I26" s="189"/>
      <c r="J26" s="288">
        <f>FOCUSYEAR</f>
        <v>2013</v>
      </c>
      <c r="K26" s="289">
        <f>COMPARISONYEAR</f>
        <v>2012</v>
      </c>
      <c r="L26" s="309" t="s">
        <v>115</v>
      </c>
      <c r="M26" s="807"/>
      <c r="N26" s="806"/>
      <c r="O26" s="808"/>
      <c r="P26" s="288">
        <f>FOCUSYEAR</f>
        <v>2013</v>
      </c>
      <c r="Q26" s="289">
        <f>COMPARISONYEAR</f>
        <v>2012</v>
      </c>
      <c r="R26" s="310" t="s">
        <v>115</v>
      </c>
      <c r="S26" s="189"/>
      <c r="T26" s="189"/>
      <c r="U26" s="189"/>
      <c r="V26" s="189"/>
      <c r="W26" s="189"/>
      <c r="X26" s="306"/>
    </row>
    <row r="27" spans="5:24" ht="16.149999999999999" customHeight="1" thickTop="1" thickBot="1" x14ac:dyDescent="0.25">
      <c r="E27" s="305"/>
      <c r="F27" s="189"/>
      <c r="G27" s="189"/>
      <c r="H27" s="189"/>
      <c r="I27" s="189"/>
      <c r="J27" s="662">
        <f>VLOOKUP(FOCUSYEAR&amp;".Economic Impact."&amp;$M27,REP.data,18,FALSE)*(1+VLOOKUP(FOCUSYEAR&amp;".economic impact."&amp;"VAT",REP.data,18,FALSE)/VLOOKUP(FOCUSYEAR&amp;".economic impact."&amp;"DIRECT REVENUE",REP.data,18,FALSE))*IF(REP.indexed="YES",INDEX(REP.indexationtoFOCUSYEAR,FOCUSYEAR.no),1)/$A$2</f>
        <v>19.406690037058141</v>
      </c>
      <c r="K27" s="663">
        <f>VLOOKUP(COMPARISONYEAR&amp;".Economic Impact."&amp;$M27,REP.data,18,FALSE)*(1+VLOOKUP(COMPARISONYEAR&amp;".economic impact."&amp;"VAT",REP.data,18,FALSE)/VLOOKUP(COMPARISONYEAR&amp;".economic impact."&amp;"DIRECT REVENUE",REP.data,18,FALSE))*INDEX(REP.indexationtoFOCUSYEAR,MATCH(VALUE(COMPARISONYEAR),REP.yearsrange))/$A$2</f>
        <v>18.297846980064428</v>
      </c>
      <c r="L27" s="202">
        <f>IFERROR(J27/K27-1,"")</f>
        <v>6.0599646406585439E-2</v>
      </c>
      <c r="M27" s="840" t="s">
        <v>24</v>
      </c>
      <c r="N27" s="841"/>
      <c r="O27" s="842"/>
      <c r="P27" s="299">
        <f>VLOOKUP(FOCUSYEAR&amp;".Employment."&amp;$M27,REP.data,18,FALSE)</f>
        <v>1374.5173892001558</v>
      </c>
      <c r="Q27" s="300">
        <f>VLOOKUP(COMPARISONYEAR&amp;".Employment."&amp;$M27,REP.data,18,FALSE)</f>
        <v>1353.8194582076546</v>
      </c>
      <c r="R27" s="202">
        <f>IFERROR(P27/Q27-1,"")</f>
        <v>1.5288545948293208E-2</v>
      </c>
      <c r="S27" s="189"/>
      <c r="T27" s="189"/>
      <c r="U27" s="189"/>
      <c r="V27" s="189"/>
      <c r="W27" s="189"/>
      <c r="X27" s="306"/>
    </row>
    <row r="28" spans="5:24" ht="16.149999999999999" customHeight="1" thickTop="1" thickBot="1" x14ac:dyDescent="0.25">
      <c r="E28" s="305"/>
      <c r="F28" s="189"/>
      <c r="G28" s="189"/>
      <c r="H28" s="189"/>
      <c r="I28" s="189"/>
      <c r="J28" s="662">
        <f>VLOOKUP(FOCUSYEAR&amp;".Economic Impact."&amp;$M28,REP.data,18,FALSE)*(1+VLOOKUP(FOCUSYEAR&amp;".economic impact."&amp;"VAT",REP.data,18,FALSE)/VLOOKUP(FOCUSYEAR&amp;".economic impact."&amp;"DIRECT REVENUE",REP.data,18,FALSE))*IF(REP.indexed="YES",INDEX(REP.indexationtoFOCUSYEAR,FOCUSYEAR.no),1)/$A$2</f>
        <v>16.659065904341041</v>
      </c>
      <c r="K28" s="663">
        <f>VLOOKUP(COMPARISONYEAR&amp;".Economic Impact."&amp;$M28,REP.data,18,FALSE)*(1+VLOOKUP(COMPARISONYEAR&amp;".economic impact."&amp;"VAT",REP.data,18,FALSE)/VLOOKUP(COMPARISONYEAR&amp;".economic impact."&amp;"DIRECT REVENUE",REP.data,18,FALSE))*INDEX(REP.indexationtoFOCUSYEAR,MATCH(VALUE(COMPARISONYEAR),REP.yearsrange))/$A$2</f>
        <v>15.050163506891993</v>
      </c>
      <c r="L28" s="202">
        <f t="shared" ref="L28:L34" si="5">IFERROR(J28/K28-1,"")</f>
        <v>0.10690265236734975</v>
      </c>
      <c r="M28" s="840" t="s">
        <v>50</v>
      </c>
      <c r="N28" s="841"/>
      <c r="O28" s="842"/>
      <c r="P28" s="299">
        <f>VLOOKUP(FOCUSYEAR&amp;".Employment."&amp;$M28,REP.data,18,FALSE)</f>
        <v>306.4320889514039</v>
      </c>
      <c r="Q28" s="300">
        <f>VLOOKUP(COMPARISONYEAR&amp;".Employment."&amp;$M28,REP.data,18,FALSE)</f>
        <v>285.91938753425239</v>
      </c>
      <c r="R28" s="202">
        <f t="shared" ref="R28:R34" si="6">IFERROR(P28/Q28-1,"")</f>
        <v>7.1742953823633826E-2</v>
      </c>
      <c r="S28" s="189"/>
      <c r="T28" s="189"/>
      <c r="U28" s="189"/>
      <c r="V28" s="189"/>
      <c r="W28" s="189"/>
      <c r="X28" s="306"/>
    </row>
    <row r="29" spans="5:24" ht="16.149999999999999" customHeight="1" thickTop="1" thickBot="1" x14ac:dyDescent="0.25">
      <c r="E29" s="305"/>
      <c r="F29" s="189"/>
      <c r="G29" s="189"/>
      <c r="H29" s="189"/>
      <c r="I29" s="189"/>
      <c r="J29" s="662">
        <f>VLOOKUP(FOCUSYEAR&amp;".Economic Impact."&amp;$M29,REP.data,18,FALSE)*(1+VLOOKUP(FOCUSYEAR&amp;".economic impact."&amp;"VAT",REP.data,18,FALSE)/VLOOKUP(FOCUSYEAR&amp;".economic impact."&amp;"DIRECT REVENUE",REP.data,18,FALSE))*IF(REP.indexed="YES",INDEX(REP.indexationtoFOCUSYEAR,FOCUSYEAR.no),1)/$A$2</f>
        <v>7.3601712696607535</v>
      </c>
      <c r="K29" s="663">
        <f>VLOOKUP(COMPARISONYEAR&amp;".Economic Impact."&amp;$M29,REP.data,18,FALSE)*(1+VLOOKUP(COMPARISONYEAR&amp;".economic impact."&amp;"VAT",REP.data,18,FALSE)/VLOOKUP(COMPARISONYEAR&amp;".economic impact."&amp;"DIRECT REVENUE",REP.data,18,FALSE))*INDEX(REP.indexationtoFOCUSYEAR,MATCH(VALUE(COMPARISONYEAR),REP.yearsrange))/$A$2</f>
        <v>6.634351173209633</v>
      </c>
      <c r="L29" s="202">
        <f t="shared" si="5"/>
        <v>0.10940332784644813</v>
      </c>
      <c r="M29" s="840" t="s">
        <v>51</v>
      </c>
      <c r="N29" s="841"/>
      <c r="O29" s="842"/>
      <c r="P29" s="299">
        <f>VLOOKUP(FOCUSYEAR&amp;".Employment."&amp;$M29,REP.data,18,FALSE)</f>
        <v>134.48111237263748</v>
      </c>
      <c r="Q29" s="300">
        <f>VLOOKUP(COMPARISONYEAR&amp;".Employment."&amp;$M29,REP.data,18,FALSE)</f>
        <v>125.19604791733273</v>
      </c>
      <c r="R29" s="202">
        <f t="shared" si="6"/>
        <v>7.4164197750361094E-2</v>
      </c>
      <c r="S29" s="189"/>
      <c r="T29" s="189"/>
      <c r="U29" s="189"/>
      <c r="V29" s="189"/>
      <c r="W29" s="189"/>
      <c r="X29" s="306"/>
    </row>
    <row r="30" spans="5:24" ht="16.149999999999999" customHeight="1" thickTop="1" thickBot="1" x14ac:dyDescent="0.25">
      <c r="E30" s="305"/>
      <c r="F30" s="189"/>
      <c r="G30" s="189"/>
      <c r="H30" s="189"/>
      <c r="I30" s="189"/>
      <c r="J30" s="662">
        <f>VLOOKUP(FOCUSYEAR&amp;".Economic Impact."&amp;$M30,REP.data,18,FALSE)*(1+VLOOKUP(FOCUSYEAR&amp;".economic impact."&amp;"VAT",REP.data,18,FALSE)/VLOOKUP(FOCUSYEAR&amp;".economic impact."&amp;"DIRECT REVENUE",REP.data,18,FALSE))*IF(REP.indexed="YES",INDEX(REP.indexationtoFOCUSYEAR,FOCUSYEAR.no),1)/$A$2</f>
        <v>9.6573712329010934</v>
      </c>
      <c r="K30" s="663">
        <f>VLOOKUP(COMPARISONYEAR&amp;".Economic Impact."&amp;$M30,REP.data,18,FALSE)*(1+VLOOKUP(COMPARISONYEAR&amp;".economic impact."&amp;"VAT",REP.data,18,FALSE)/VLOOKUP(COMPARISONYEAR&amp;".economic impact."&amp;"DIRECT REVENUE",REP.data,18,FALSE))*INDEX(REP.indexationtoFOCUSYEAR,MATCH(VALUE(COMPARISONYEAR),REP.yearsrange))/$A$2</f>
        <v>8.75799581525294</v>
      </c>
      <c r="L30" s="202">
        <f t="shared" si="5"/>
        <v>0.10269192137335792</v>
      </c>
      <c r="M30" s="840" t="s">
        <v>52</v>
      </c>
      <c r="N30" s="841"/>
      <c r="O30" s="842"/>
      <c r="P30" s="299">
        <f>VLOOKUP(FOCUSYEAR&amp;".Employment."&amp;$M30,REP.data,18,FALSE)</f>
        <v>171.02527636865571</v>
      </c>
      <c r="Q30" s="300">
        <f>VLOOKUP(COMPARISONYEAR&amp;".Employment."&amp;$M30,REP.data,18,FALSE)</f>
        <v>160.18612632558384</v>
      </c>
      <c r="R30" s="202">
        <f t="shared" si="6"/>
        <v>6.7665972651345108E-2</v>
      </c>
      <c r="S30" s="189"/>
      <c r="T30" s="189"/>
      <c r="U30" s="189"/>
      <c r="V30" s="189"/>
      <c r="W30" s="189"/>
      <c r="X30" s="306"/>
    </row>
    <row r="31" spans="5:24" ht="16.149999999999999" customHeight="1" thickTop="1" thickBot="1" x14ac:dyDescent="0.25">
      <c r="E31" s="305"/>
      <c r="F31" s="189"/>
      <c r="G31" s="189"/>
      <c r="H31" s="189"/>
      <c r="I31" s="189"/>
      <c r="J31" s="662">
        <f>VLOOKUP(FOCUSYEAR&amp;".Economic Impact."&amp;$M31,REP.data,18,FALSE)*(1+VLOOKUP(FOCUSYEAR&amp;".economic impact."&amp;"VAT",REP.data,18,FALSE)/VLOOKUP(FOCUSYEAR&amp;".economic impact."&amp;"DIRECT REVENUE",REP.data,18,FALSE))*IF(REP.indexed="YES",INDEX(REP.indexationtoFOCUSYEAR,FOCUSYEAR.no),1)/$A$2</f>
        <v>19.064411519402572</v>
      </c>
      <c r="K31" s="663">
        <f>VLOOKUP(COMPARISONYEAR&amp;".Economic Impact."&amp;$M31,REP.data,18,FALSE)*(1+VLOOKUP(COMPARISONYEAR&amp;".economic impact."&amp;"VAT",REP.data,18,FALSE)/VLOOKUP(COMPARISONYEAR&amp;".economic impact."&amp;"DIRECT REVENUE",REP.data,18,FALSE))*INDEX(REP.indexationtoFOCUSYEAR,MATCH(VALUE(COMPARISONYEAR),REP.yearsrange))/$A$2</f>
        <v>17.686944611793606</v>
      </c>
      <c r="L31" s="202">
        <f t="shared" si="5"/>
        <v>7.7880433158052265E-2</v>
      </c>
      <c r="M31" s="840" t="s">
        <v>53</v>
      </c>
      <c r="N31" s="841"/>
      <c r="O31" s="842"/>
      <c r="P31" s="299">
        <f>VLOOKUP(FOCUSYEAR&amp;".Employment."&amp;$M31,REP.data,18,FALSE)</f>
        <v>301.08737894449274</v>
      </c>
      <c r="Q31" s="300">
        <f>VLOOKUP(COMPARISONYEAR&amp;".Employment."&amp;$M31,REP.data,18,FALSE)</f>
        <v>288.49663636227274</v>
      </c>
      <c r="R31" s="202">
        <f t="shared" si="6"/>
        <v>4.3642597504705227E-2</v>
      </c>
      <c r="S31" s="189"/>
      <c r="T31" s="189"/>
      <c r="U31" s="189"/>
      <c r="V31" s="189"/>
      <c r="W31" s="189"/>
      <c r="X31" s="306"/>
    </row>
    <row r="32" spans="5:24" ht="16.149999999999999" customHeight="1" thickTop="1" thickBot="1" x14ac:dyDescent="0.25">
      <c r="E32" s="305"/>
      <c r="F32" s="189"/>
      <c r="G32" s="189"/>
      <c r="H32" s="189"/>
      <c r="I32" s="189"/>
      <c r="J32" s="664">
        <f>SUM(J27:J31)</f>
        <v>72.147709963363596</v>
      </c>
      <c r="K32" s="666">
        <f>SUM(K27:K31)</f>
        <v>66.427302087212595</v>
      </c>
      <c r="L32" s="311">
        <f t="shared" si="5"/>
        <v>8.611531247559423E-2</v>
      </c>
      <c r="M32" s="843" t="s">
        <v>91</v>
      </c>
      <c r="N32" s="844"/>
      <c r="O32" s="845"/>
      <c r="P32" s="312">
        <f>SUM(P27:P31)</f>
        <v>2287.5432458373457</v>
      </c>
      <c r="Q32" s="313">
        <f>SUM(Q27:Q31)</f>
        <v>2213.6176563470963</v>
      </c>
      <c r="R32" s="311">
        <f t="shared" si="6"/>
        <v>3.3395825732724482E-2</v>
      </c>
      <c r="S32" s="189"/>
      <c r="T32" s="189"/>
      <c r="U32" s="189"/>
      <c r="V32" s="189"/>
      <c r="W32" s="189"/>
      <c r="X32" s="306"/>
    </row>
    <row r="33" spans="4:24" ht="16.149999999999999" customHeight="1" thickTop="1" thickBot="1" x14ac:dyDescent="0.25">
      <c r="E33" s="305"/>
      <c r="F33" s="189"/>
      <c r="G33" s="189"/>
      <c r="H33" s="189"/>
      <c r="I33" s="189"/>
      <c r="J33" s="662">
        <f>J34-J32</f>
        <v>22.480181577483165</v>
      </c>
      <c r="K33" s="663">
        <f>K34-K32</f>
        <v>20.684443560710889</v>
      </c>
      <c r="L33" s="202">
        <f t="shared" si="5"/>
        <v>8.6815872590510157E-2</v>
      </c>
      <c r="M33" s="834" t="s">
        <v>117</v>
      </c>
      <c r="N33" s="835"/>
      <c r="O33" s="836"/>
      <c r="P33" s="299">
        <f>P34-P32</f>
        <v>392.87139643339378</v>
      </c>
      <c r="Q33" s="300">
        <f>Q34-Q32</f>
        <v>373.34748420799451</v>
      </c>
      <c r="R33" s="202">
        <f t="shared" si="6"/>
        <v>5.2294211294383164E-2</v>
      </c>
      <c r="S33" s="189"/>
      <c r="T33" s="189"/>
      <c r="U33" s="189"/>
      <c r="V33" s="189"/>
      <c r="W33" s="189"/>
      <c r="X33" s="306"/>
    </row>
    <row r="34" spans="4:24" ht="16.149999999999999" customHeight="1" thickTop="1" thickBot="1" x14ac:dyDescent="0.25">
      <c r="E34" s="305"/>
      <c r="F34" s="189"/>
      <c r="G34" s="189"/>
      <c r="H34" s="189"/>
      <c r="I34" s="189"/>
      <c r="J34" s="665">
        <f>VLOOKUP(FOCUSYEAR&amp;".economic impact."&amp;$M34,REP.data,18,FALSE)*INDEX(REP.indexationtoFOCUSYEAR,MATCH(VALUE(FOCUSYEAR),REP.yearsrange))/$A$2</f>
        <v>94.627891540846761</v>
      </c>
      <c r="K34" s="667">
        <f>VLOOKUP(COMPARISONYEAR&amp;".economic impact."&amp;$M34,REP.data,18,FALSE)*INDEX(REP.indexationtoFOCUSYEAR,MATCH(VALUE(COMPARISONYEAR),REP.yearsrange))/$A$2</f>
        <v>87.111745647923485</v>
      </c>
      <c r="L34" s="311">
        <f t="shared" si="5"/>
        <v>8.6281658541214723E-2</v>
      </c>
      <c r="M34" s="837" t="s">
        <v>39</v>
      </c>
      <c r="N34" s="838"/>
      <c r="O34" s="839"/>
      <c r="P34" s="314">
        <f>VLOOKUP(FOCUSYEAR&amp;".Employment."&amp;$M34,REP.data,18,FALSE)</f>
        <v>2680.4146422707395</v>
      </c>
      <c r="Q34" s="315">
        <f>VLOOKUP(COMPARISONYEAR&amp;".Employment."&amp;$M34,REP.data,18,FALSE)</f>
        <v>2586.9651405550908</v>
      </c>
      <c r="R34" s="311">
        <f t="shared" si="6"/>
        <v>3.6123216447979223E-2</v>
      </c>
      <c r="S34" s="189"/>
      <c r="T34" s="189"/>
      <c r="U34" s="189"/>
      <c r="V34" s="189"/>
      <c r="W34" s="189"/>
      <c r="X34" s="306"/>
    </row>
    <row r="35" spans="4:24" ht="15.75" customHeight="1" thickTop="1" thickBot="1" x14ac:dyDescent="0.25">
      <c r="E35" s="305"/>
      <c r="F35" s="189"/>
      <c r="G35" s="189"/>
      <c r="H35" s="189"/>
      <c r="I35" s="189"/>
      <c r="J35" s="682"/>
      <c r="K35" s="682"/>
      <c r="L35" s="174"/>
      <c r="M35" s="681"/>
      <c r="N35" s="681"/>
      <c r="O35" s="681"/>
      <c r="P35" s="173"/>
      <c r="Q35" s="173"/>
      <c r="R35" s="680"/>
      <c r="S35" s="189"/>
      <c r="T35" s="189"/>
      <c r="U35" s="189"/>
      <c r="V35" s="189"/>
      <c r="W35" s="189"/>
      <c r="X35" s="306"/>
    </row>
    <row r="36" spans="4:24" s="181" customFormat="1" ht="16.149999999999999" customHeight="1" thickTop="1" thickBot="1" x14ac:dyDescent="0.2">
      <c r="D36" s="177"/>
      <c r="E36" s="178" t="str">
        <f>REP.footer1</f>
        <v>This report is copyright © Global Tourism Solutions (UK) Ltd 2014</v>
      </c>
      <c r="F36" s="179"/>
      <c r="G36" s="179"/>
      <c r="H36" s="179"/>
      <c r="I36" s="179"/>
      <c r="J36" s="179"/>
      <c r="K36" s="179"/>
      <c r="L36" s="179"/>
      <c r="M36" s="179"/>
      <c r="N36" s="179"/>
      <c r="O36" s="179"/>
      <c r="P36" s="179"/>
      <c r="Q36" s="179"/>
      <c r="R36" s="179"/>
      <c r="S36" s="179"/>
      <c r="T36" s="179"/>
      <c r="U36" s="179"/>
      <c r="V36" s="179"/>
      <c r="W36" s="179"/>
      <c r="X36" s="180" t="str">
        <f>REP.footer2</f>
        <v>Report Prepared by: Alison Tipler. Date of Issue: 11/04/14</v>
      </c>
    </row>
    <row r="37" spans="4:24" ht="16.149999999999999" customHeight="1" thickTop="1" x14ac:dyDescent="0.2"/>
    <row r="68" spans="7:23" ht="16.149999999999999" customHeight="1" x14ac:dyDescent="0.2">
      <c r="G68" s="118" t="s">
        <v>44</v>
      </c>
      <c r="H68" s="118" t="s">
        <v>44</v>
      </c>
      <c r="J68" s="118" t="s">
        <v>49</v>
      </c>
      <c r="K68" s="118" t="s">
        <v>49</v>
      </c>
      <c r="M68" s="118" t="s">
        <v>19</v>
      </c>
      <c r="N68" s="118" t="s">
        <v>19</v>
      </c>
      <c r="P68" s="118" t="s">
        <v>97</v>
      </c>
      <c r="S68" s="118" t="s">
        <v>73</v>
      </c>
      <c r="T68" s="118" t="s">
        <v>73</v>
      </c>
      <c r="V68" s="118" t="s">
        <v>55</v>
      </c>
      <c r="W68" s="118" t="s">
        <v>55</v>
      </c>
    </row>
  </sheetData>
  <sheetProtection algorithmName="SHA-512" hashValue="akKSPP1iLyuXnd27kZeNrxP5EayKgF2NiPfOY2Szo3u735UbxsYV36kclz2mVxuu85RfljLT1ar0R/oK5ZlXww==" saltValue="hBFn3H9SLrkhT4IpzfhXxg==" spinCount="100000" sheet="1" objects="1" scenarios="1"/>
  <mergeCells count="38">
    <mergeCell ref="S6:X7"/>
    <mergeCell ref="M33:O33"/>
    <mergeCell ref="M34:O34"/>
    <mergeCell ref="M27:O27"/>
    <mergeCell ref="M28:O28"/>
    <mergeCell ref="M29:O29"/>
    <mergeCell ref="M30:O30"/>
    <mergeCell ref="M31:O31"/>
    <mergeCell ref="M32:O32"/>
    <mergeCell ref="E19:X19"/>
    <mergeCell ref="P6:R6"/>
    <mergeCell ref="P7:R7"/>
    <mergeCell ref="E8:X8"/>
    <mergeCell ref="E9:F9"/>
    <mergeCell ref="P9:R11"/>
    <mergeCell ref="S9:U11"/>
    <mergeCell ref="E25:L25"/>
    <mergeCell ref="M25:O26"/>
    <mergeCell ref="P25:X25"/>
    <mergeCell ref="E20:F20"/>
    <mergeCell ref="G20:I20"/>
    <mergeCell ref="J20:L20"/>
    <mergeCell ref="M20:O20"/>
    <mergeCell ref="P20:R20"/>
    <mergeCell ref="S20:U20"/>
    <mergeCell ref="V20:X20"/>
    <mergeCell ref="E21:F21"/>
    <mergeCell ref="E22:F22"/>
    <mergeCell ref="E23:F23"/>
    <mergeCell ref="E24:F24"/>
    <mergeCell ref="E12:F12"/>
    <mergeCell ref="V9:X11"/>
    <mergeCell ref="E10:F10"/>
    <mergeCell ref="G10:L10"/>
    <mergeCell ref="M10:O11"/>
    <mergeCell ref="E11:F11"/>
    <mergeCell ref="G11:I11"/>
    <mergeCell ref="J11:L11"/>
  </mergeCells>
  <conditionalFormatting sqref="I14:I18 L14:L18 O14:O18 R14:R18 U14:U18 X14:X18 L27:L35 R27:R35">
    <cfRule type="cellIs" dxfId="184" priority="6" operator="greaterThanOrEqual">
      <formula>REP.percenthighlight</formula>
    </cfRule>
    <cfRule type="cellIs" dxfId="183" priority="7" operator="lessThanOrEqual">
      <formula>-REP.percenthighlight</formula>
    </cfRule>
  </conditionalFormatting>
  <conditionalFormatting sqref="I13 L13 O13 R13 U13 X13">
    <cfRule type="cellIs" dxfId="182" priority="3" operator="greaterThanOrEqual">
      <formula>REP.percenthighlight</formula>
    </cfRule>
    <cfRule type="cellIs" dxfId="181" priority="4" operator="lessThanOrEqual">
      <formula>-REP.percenthighlight</formula>
    </cfRule>
  </conditionalFormatting>
  <conditionalFormatting sqref="G13:H14 G16:H16 J13:K14 J16:K16 M13:N14 M16:N16 P13:Q14 P16:Q16 S13:T14 S16:T16 V13:W16">
    <cfRule type="expression" dxfId="180" priority="2">
      <formula>G13&lt;10</formula>
    </cfRule>
  </conditionalFormatting>
  <conditionalFormatting sqref="J27:K34">
    <cfRule type="expression" dxfId="179" priority="1">
      <formula>J27&lt;10</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9573" r:id="rId4" name="Drop Down 5">
              <controlPr defaultSize="0" autoLine="0" autoPict="0">
                <anchor moveWithCells="1">
                  <from>
                    <xdr:col>21</xdr:col>
                    <xdr:colOff>190500</xdr:colOff>
                    <xdr:row>4</xdr:row>
                    <xdr:rowOff>19050</xdr:rowOff>
                  </from>
                  <to>
                    <xdr:col>22</xdr:col>
                    <xdr:colOff>276225</xdr:colOff>
                    <xdr:row>4</xdr:row>
                    <xdr:rowOff>295275</xdr:rowOff>
                  </to>
                </anchor>
              </controlPr>
            </control>
          </mc:Choice>
        </mc:AlternateContent>
        <mc:AlternateContent xmlns:mc="http://schemas.openxmlformats.org/markup-compatibility/2006">
          <mc:Choice Requires="x14">
            <control shapeId="109574" r:id="rId5" name="Drop Down 6">
              <controlPr defaultSize="0" autoLine="0" autoPict="0">
                <anchor moveWithCells="1">
                  <from>
                    <xdr:col>6</xdr:col>
                    <xdr:colOff>428625</xdr:colOff>
                    <xdr:row>4</xdr:row>
                    <xdr:rowOff>19050</xdr:rowOff>
                  </from>
                  <to>
                    <xdr:col>8</xdr:col>
                    <xdr:colOff>142875</xdr:colOff>
                    <xdr:row>4</xdr:row>
                    <xdr:rowOff>295275</xdr:rowOff>
                  </to>
                </anchor>
              </controlPr>
            </control>
          </mc:Choice>
        </mc:AlternateContent>
        <mc:AlternateContent xmlns:mc="http://schemas.openxmlformats.org/markup-compatibility/2006">
          <mc:Choice Requires="x14">
            <control shapeId="109575" r:id="rId6" name="Drop Down 7">
              <controlPr defaultSize="0" autoLine="0" autoPict="0">
                <anchor moveWithCells="1">
                  <from>
                    <xdr:col>16</xdr:col>
                    <xdr:colOff>85725</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09576" r:id="rId7" name="Drop Down 8">
              <controlPr defaultSize="0" autoLine="0" autoPict="0">
                <anchor moveWithCells="1">
                  <from>
                    <xdr:col>4</xdr:col>
                    <xdr:colOff>609600</xdr:colOff>
                    <xdr:row>4</xdr:row>
                    <xdr:rowOff>19050</xdr:rowOff>
                  </from>
                  <to>
                    <xdr:col>5</xdr:col>
                    <xdr:colOff>0</xdr:colOff>
                    <xdr:row>4</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2">
    <tabColor theme="7"/>
    <outlinePr showOutlineSymbols="0"/>
    <pageSetUpPr autoPageBreaks="0" fitToPage="1"/>
  </sheetPr>
  <dimension ref="A1:Z70"/>
  <sheetViews>
    <sheetView showGridLines="0" showRowColHeaders="0" showZeros="0"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6" ht="16.149999999999999" hidden="1" customHeight="1" thickTop="1" thickBot="1" x14ac:dyDescent="0.25">
      <c r="A1" s="117" t="str">
        <f ca="1">MID(CELL("filename",A1),FIND("]",CELL("filename",A1))+1,255)</f>
        <v>KEY MEASURES</v>
      </c>
      <c r="E1" s="120"/>
      <c r="F1" s="121"/>
      <c r="G1" s="121"/>
      <c r="H1" s="121"/>
      <c r="I1" s="121"/>
      <c r="J1" s="121"/>
      <c r="K1" s="121"/>
      <c r="L1" s="121"/>
      <c r="M1" s="121"/>
      <c r="N1" s="121"/>
      <c r="O1" s="121"/>
      <c r="P1" s="121"/>
      <c r="Q1" s="121"/>
      <c r="R1" s="121"/>
      <c r="S1" s="121"/>
      <c r="T1" s="121"/>
      <c r="U1" s="121"/>
      <c r="V1" s="121"/>
      <c r="W1" s="121"/>
      <c r="X1" s="122"/>
    </row>
    <row r="2" spans="1:26"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6" ht="26.45" customHeight="1" x14ac:dyDescent="0.2">
      <c r="E3" s="126"/>
      <c r="F3" s="127"/>
      <c r="G3" s="127"/>
      <c r="H3" s="127"/>
      <c r="I3" s="127"/>
      <c r="J3" s="127"/>
      <c r="K3" s="127"/>
      <c r="L3" s="127"/>
      <c r="M3" s="127"/>
      <c r="N3" s="127"/>
      <c r="O3" s="127"/>
      <c r="P3" s="127"/>
      <c r="Q3" s="127"/>
      <c r="R3" s="127"/>
      <c r="S3" s="127"/>
      <c r="T3" s="127"/>
      <c r="U3" s="127"/>
      <c r="V3" s="127"/>
      <c r="W3" s="127"/>
      <c r="X3" s="128"/>
    </row>
    <row r="4" spans="1:26" ht="26.45" customHeight="1" x14ac:dyDescent="0.2">
      <c r="E4" s="211"/>
      <c r="F4" s="212"/>
      <c r="G4" s="212"/>
      <c r="H4" s="212"/>
      <c r="I4" s="212"/>
      <c r="J4" s="212"/>
      <c r="K4" s="212"/>
      <c r="L4" s="212"/>
      <c r="M4" s="212"/>
      <c r="N4" s="212"/>
      <c r="O4" s="212"/>
      <c r="P4" s="212"/>
      <c r="Q4" s="212"/>
      <c r="R4" s="212"/>
      <c r="S4" s="212"/>
      <c r="T4" s="212"/>
      <c r="U4" s="212"/>
      <c r="V4" s="212"/>
      <c r="W4" s="212"/>
      <c r="X4" s="213"/>
    </row>
    <row r="5" spans="1:26" ht="26.45" customHeight="1" thickBot="1" x14ac:dyDescent="0.25">
      <c r="E5" s="214"/>
      <c r="F5" s="215"/>
      <c r="G5" s="215"/>
      <c r="H5" s="215"/>
      <c r="I5" s="215"/>
      <c r="J5" s="215"/>
      <c r="K5" s="215"/>
      <c r="L5" s="215"/>
      <c r="M5" s="215"/>
      <c r="N5" s="215"/>
      <c r="O5" s="215"/>
      <c r="P5" s="215"/>
      <c r="Q5" s="215"/>
      <c r="R5" s="215"/>
      <c r="S5" s="215"/>
      <c r="T5" s="215"/>
      <c r="U5" s="215"/>
      <c r="V5" s="215"/>
      <c r="W5" s="215"/>
      <c r="X5" s="216"/>
    </row>
    <row r="6" spans="1:26" ht="16.149999999999999" customHeight="1" thickTop="1" x14ac:dyDescent="0.2">
      <c r="E6" s="372" t="str">
        <f>REP.title1</f>
        <v>STEAM FINAL TREND REPORT FOR 2009-2013</v>
      </c>
      <c r="F6" s="400"/>
      <c r="G6" s="400"/>
      <c r="H6" s="400"/>
      <c r="I6" s="400"/>
      <c r="J6" s="400"/>
      <c r="K6" s="400"/>
      <c r="L6" s="400"/>
      <c r="M6" s="400"/>
      <c r="N6" s="400"/>
      <c r="O6" s="879" t="str">
        <f>MIN(REP.yearsrange)&amp;" to "&amp;MAX(REP.yearsrange)</f>
        <v>2009 to 2013</v>
      </c>
      <c r="P6" s="880"/>
      <c r="Q6" s="880"/>
      <c r="R6" s="881"/>
      <c r="S6" s="869" t="str">
        <f>UPPER(TYPE.userselected)</f>
        <v>TOTAL</v>
      </c>
      <c r="T6" s="870"/>
      <c r="U6" s="873" t="str">
        <f>IF(REP.indexed="YES","KEY MEASURES"&amp;CHAR(10)&amp;"Indexed","KEY MEASURES"&amp;CHAR(10)&amp;"Historic Prices")</f>
        <v>KEY MEASURES
Historic Prices</v>
      </c>
      <c r="V6" s="874"/>
      <c r="W6" s="874"/>
      <c r="X6" s="875"/>
    </row>
    <row r="7" spans="1:26" ht="16.149999999999999" customHeight="1" thickBot="1" x14ac:dyDescent="0.25">
      <c r="E7" s="373" t="str">
        <f>REP.title2</f>
        <v>MORAY HIE</v>
      </c>
      <c r="F7" s="374"/>
      <c r="G7" s="374"/>
      <c r="H7" s="374"/>
      <c r="I7" s="375"/>
      <c r="J7" s="375"/>
      <c r="K7" s="375"/>
      <c r="L7" s="375"/>
      <c r="M7" s="375"/>
      <c r="N7" s="375"/>
      <c r="O7" s="882" t="str">
        <f>IF(REP.indexed="YES",MAX(REP.yearsrange)&amp;" Prices","Historic Prices")</f>
        <v>Historic Prices</v>
      </c>
      <c r="P7" s="883"/>
      <c r="Q7" s="883"/>
      <c r="R7" s="884"/>
      <c r="S7" s="871"/>
      <c r="T7" s="872"/>
      <c r="U7" s="876"/>
      <c r="V7" s="877"/>
      <c r="W7" s="877"/>
      <c r="X7" s="878"/>
    </row>
    <row r="8" spans="1:26" ht="16.149999999999999" customHeight="1" thickTop="1" thickBot="1" x14ac:dyDescent="0.25">
      <c r="E8" s="803" t="str">
        <f>IF(REP.indexed="YES","Economic Impact - Indexed - ","Economic Impact - Historic Prices - ")&amp;TYPE.userselected</f>
        <v>Economic Impact - Historic Prices - Total</v>
      </c>
      <c r="F8" s="804"/>
      <c r="G8" s="804"/>
      <c r="H8" s="804"/>
      <c r="I8" s="804"/>
      <c r="J8" s="804"/>
      <c r="K8" s="804"/>
      <c r="L8" s="804"/>
      <c r="M8" s="804"/>
      <c r="N8" s="804"/>
      <c r="O8" s="866" t="str">
        <f ca="1">PROPER('VISITOR NUMBERS'!$U$6)&amp;" - "&amp;TYPE.userselected</f>
        <v>Visitor Numbers - Total</v>
      </c>
      <c r="P8" s="867"/>
      <c r="Q8" s="867"/>
      <c r="R8" s="867"/>
      <c r="S8" s="867"/>
      <c r="T8" s="867"/>
      <c r="U8" s="867"/>
      <c r="V8" s="867"/>
      <c r="W8" s="867"/>
      <c r="X8" s="868"/>
    </row>
    <row r="9" spans="1:26" s="132" customFormat="1" ht="16.149999999999999" customHeight="1" thickTop="1" thickBot="1" x14ac:dyDescent="0.25">
      <c r="E9" s="812" t="str">
        <f ca="1">'ECONOMIC IMPACT'!$P$7&amp;" "&amp;'ECONOMIC IMPACT'!$F$16</f>
        <v>Historic Prices £M</v>
      </c>
      <c r="F9" s="865"/>
      <c r="G9" s="865"/>
      <c r="H9" s="865"/>
      <c r="I9" s="865"/>
      <c r="J9" s="865"/>
      <c r="K9" s="865"/>
      <c r="L9" s="865"/>
      <c r="M9" s="865"/>
      <c r="N9" s="813"/>
      <c r="O9" s="812" t="str">
        <f ca="1">'VISITOR NUMBERS'!$F$16</f>
        <v>000s</v>
      </c>
      <c r="P9" s="865"/>
      <c r="Q9" s="865"/>
      <c r="R9" s="865"/>
      <c r="S9" s="865"/>
      <c r="T9" s="865"/>
      <c r="U9" s="865"/>
      <c r="V9" s="865"/>
      <c r="W9" s="865"/>
      <c r="X9" s="813"/>
    </row>
    <row r="10" spans="1:26" s="132" customFormat="1" ht="16.149999999999999" customHeight="1" thickTop="1" thickBot="1" x14ac:dyDescent="0.25">
      <c r="E10" s="248"/>
      <c r="F10" s="249"/>
      <c r="G10" s="250"/>
      <c r="H10" s="251"/>
      <c r="I10" s="251"/>
      <c r="J10" s="251"/>
      <c r="K10" s="251"/>
      <c r="L10" s="251"/>
      <c r="M10" s="251"/>
      <c r="N10" s="251"/>
      <c r="O10" s="251"/>
      <c r="P10" s="251"/>
      <c r="Q10" s="251"/>
      <c r="R10" s="252"/>
      <c r="S10" s="253"/>
      <c r="T10" s="253"/>
      <c r="U10" s="254"/>
      <c r="V10" s="255"/>
      <c r="W10" s="255"/>
      <c r="X10" s="256"/>
    </row>
    <row r="11" spans="1:26" s="132" customFormat="1" ht="16.149999999999999" customHeight="1" thickTop="1" thickBot="1" x14ac:dyDescent="0.25">
      <c r="E11" s="248"/>
      <c r="F11" s="249"/>
      <c r="G11" s="248"/>
      <c r="H11" s="257"/>
      <c r="I11" s="249"/>
      <c r="J11" s="248"/>
      <c r="K11" s="257"/>
      <c r="L11" s="249"/>
      <c r="M11" s="258"/>
      <c r="N11" s="259"/>
      <c r="O11" s="260"/>
      <c r="P11" s="258"/>
      <c r="Q11" s="259"/>
      <c r="R11" s="260"/>
      <c r="S11" s="261"/>
      <c r="T11" s="261"/>
      <c r="U11" s="262"/>
      <c r="V11" s="263"/>
      <c r="W11" s="263"/>
      <c r="X11" s="264"/>
    </row>
    <row r="12" spans="1:26" ht="16.149999999999999" customHeight="1" thickTop="1" thickBot="1" x14ac:dyDescent="0.25">
      <c r="E12" s="265"/>
      <c r="F12" s="266"/>
      <c r="G12" s="267"/>
      <c r="H12" s="267"/>
      <c r="I12" s="267"/>
      <c r="J12" s="267"/>
      <c r="K12" s="267"/>
      <c r="L12" s="267"/>
      <c r="M12" s="268"/>
      <c r="N12" s="268"/>
      <c r="O12" s="268"/>
      <c r="P12" s="268"/>
      <c r="Q12" s="268"/>
      <c r="R12" s="268"/>
      <c r="S12" s="269"/>
      <c r="T12" s="269"/>
      <c r="U12" s="270"/>
      <c r="V12" s="270"/>
      <c r="W12" s="220"/>
      <c r="X12" s="220"/>
    </row>
    <row r="13" spans="1:26" ht="16.149999999999999" customHeight="1" thickTop="1" thickBot="1" x14ac:dyDescent="0.25">
      <c r="E13" s="271"/>
      <c r="F13" s="271"/>
      <c r="G13" s="142"/>
      <c r="H13" s="142"/>
      <c r="I13" s="142"/>
      <c r="J13" s="142"/>
      <c r="K13" s="142"/>
      <c r="L13" s="142"/>
      <c r="M13" s="199"/>
      <c r="N13" s="199"/>
      <c r="O13" s="199"/>
      <c r="P13" s="199"/>
      <c r="Q13" s="199"/>
      <c r="R13" s="199"/>
      <c r="S13" s="199"/>
      <c r="T13" s="272"/>
      <c r="U13" s="142"/>
      <c r="V13" s="142"/>
      <c r="W13" s="142"/>
      <c r="X13" s="142"/>
    </row>
    <row r="14" spans="1:26" ht="16.149999999999999" customHeight="1" thickTop="1" thickBot="1" x14ac:dyDescent="0.25">
      <c r="E14" s="271"/>
      <c r="F14" s="271"/>
      <c r="G14" s="142"/>
      <c r="H14" s="142"/>
      <c r="I14" s="142"/>
      <c r="J14" s="142"/>
      <c r="K14" s="142"/>
      <c r="L14" s="142"/>
      <c r="M14" s="199"/>
      <c r="N14" s="199"/>
      <c r="O14" s="199"/>
      <c r="P14" s="199"/>
      <c r="Q14" s="199"/>
      <c r="R14" s="199"/>
      <c r="S14" s="199"/>
      <c r="T14" s="272"/>
      <c r="U14" s="142"/>
      <c r="V14" s="142"/>
      <c r="W14" s="142"/>
      <c r="X14" s="142"/>
    </row>
    <row r="15" spans="1:26" ht="16.149999999999999" customHeight="1" thickTop="1" thickBot="1" x14ac:dyDescent="0.25">
      <c r="E15" s="271"/>
      <c r="F15" s="271"/>
      <c r="G15" s="142"/>
      <c r="H15" s="142"/>
      <c r="I15" s="142"/>
      <c r="J15" s="142"/>
      <c r="K15" s="142"/>
      <c r="L15" s="142"/>
      <c r="M15" s="199"/>
      <c r="N15" s="199"/>
      <c r="O15" s="199"/>
      <c r="P15" s="199"/>
      <c r="Q15" s="199"/>
      <c r="R15" s="199"/>
      <c r="S15" s="199"/>
      <c r="T15" s="272"/>
      <c r="U15" s="142"/>
      <c r="V15" s="142"/>
      <c r="W15" s="142"/>
      <c r="X15" s="142"/>
    </row>
    <row r="16" spans="1:26" ht="16.149999999999999" customHeight="1" thickTop="1" thickBot="1" x14ac:dyDescent="0.25">
      <c r="E16" s="273"/>
      <c r="F16" s="274"/>
      <c r="G16" s="275"/>
      <c r="H16" s="275"/>
      <c r="I16" s="275"/>
      <c r="J16" s="275"/>
      <c r="K16" s="275"/>
      <c r="L16" s="275"/>
      <c r="M16" s="276"/>
      <c r="N16" s="276"/>
      <c r="O16" s="276"/>
      <c r="P16" s="276"/>
      <c r="Q16" s="276"/>
      <c r="R16" s="276"/>
      <c r="S16" s="276"/>
      <c r="T16" s="272"/>
      <c r="U16" s="275"/>
      <c r="V16" s="275"/>
      <c r="W16" s="276"/>
      <c r="X16" s="276"/>
      <c r="Y16" s="277"/>
      <c r="Z16" s="118" t="b">
        <f>K16&gt;1000000</f>
        <v>0</v>
      </c>
    </row>
    <row r="17" spans="4:24" ht="16.149999999999999" customHeight="1" thickTop="1" thickBot="1" x14ac:dyDescent="0.25">
      <c r="E17" s="273"/>
      <c r="F17" s="274"/>
      <c r="G17" s="275"/>
      <c r="H17" s="275"/>
      <c r="I17" s="275"/>
      <c r="J17" s="275"/>
      <c r="K17" s="275"/>
      <c r="L17" s="275"/>
      <c r="M17" s="276"/>
      <c r="N17" s="276"/>
      <c r="O17" s="276"/>
      <c r="P17" s="276"/>
      <c r="Q17" s="276"/>
      <c r="R17" s="276"/>
      <c r="S17" s="276"/>
      <c r="T17" s="142"/>
      <c r="U17" s="275"/>
      <c r="V17" s="275"/>
      <c r="W17" s="276"/>
      <c r="X17" s="276"/>
    </row>
    <row r="18" spans="4:24" ht="16.149999999999999" customHeight="1" thickTop="1" thickBot="1" x14ac:dyDescent="0.25">
      <c r="E18" s="273"/>
      <c r="F18" s="274"/>
      <c r="G18" s="275"/>
      <c r="H18" s="275"/>
      <c r="I18" s="275"/>
      <c r="J18" s="275"/>
      <c r="K18" s="275"/>
      <c r="L18" s="275"/>
      <c r="M18" s="276"/>
      <c r="N18" s="276"/>
      <c r="O18" s="276"/>
      <c r="P18" s="276"/>
      <c r="Q18" s="276"/>
      <c r="R18" s="276"/>
      <c r="S18" s="276"/>
      <c r="T18" s="142"/>
      <c r="U18" s="275"/>
      <c r="V18" s="275"/>
      <c r="W18" s="276"/>
      <c r="X18" s="276"/>
    </row>
    <row r="19" spans="4:24" ht="16.149999999999999" customHeight="1" thickTop="1" thickBot="1" x14ac:dyDescent="0.25">
      <c r="E19" s="273"/>
      <c r="F19" s="236"/>
      <c r="G19" s="278"/>
      <c r="H19" s="278"/>
      <c r="I19" s="278"/>
      <c r="J19" s="278"/>
      <c r="K19" s="278"/>
      <c r="L19" s="278"/>
      <c r="M19" s="279"/>
      <c r="N19" s="279"/>
      <c r="O19" s="280"/>
      <c r="P19" s="279"/>
      <c r="Q19" s="279"/>
      <c r="R19" s="279"/>
      <c r="S19" s="279"/>
      <c r="T19" s="281"/>
      <c r="U19" s="278"/>
      <c r="V19" s="278"/>
      <c r="W19" s="279"/>
      <c r="X19" s="282"/>
    </row>
    <row r="20" spans="4:24" ht="16.149999999999999" customHeight="1" thickTop="1" thickBot="1" x14ac:dyDescent="0.25">
      <c r="E20" s="887" t="str">
        <f ca="1">PROPER('VISITOR DAYS'!$U$6)&amp;" - "&amp;TYPE.userselected</f>
        <v>Visitor Days - Total</v>
      </c>
      <c r="F20" s="888"/>
      <c r="G20" s="888"/>
      <c r="H20" s="888"/>
      <c r="I20" s="888"/>
      <c r="J20" s="888"/>
      <c r="K20" s="888"/>
      <c r="L20" s="888"/>
      <c r="M20" s="888"/>
      <c r="N20" s="888"/>
      <c r="O20" s="889" t="str">
        <f ca="1">PROPER(EMPLOYMENT!$U$6)&amp;" Supported - "&amp;TYPE.userselected</f>
        <v>Total Employment Supported - Total</v>
      </c>
      <c r="P20" s="890"/>
      <c r="Q20" s="890"/>
      <c r="R20" s="890"/>
      <c r="S20" s="890"/>
      <c r="T20" s="890"/>
      <c r="U20" s="890"/>
      <c r="V20" s="890"/>
      <c r="W20" s="890"/>
      <c r="X20" s="891"/>
    </row>
    <row r="21" spans="4:24" ht="16.149999999999999" customHeight="1" thickTop="1" thickBot="1" x14ac:dyDescent="0.25">
      <c r="E21" s="812" t="str">
        <f ca="1">'VISITOR DAYS'!$F$16</f>
        <v>000s</v>
      </c>
      <c r="F21" s="865"/>
      <c r="G21" s="865"/>
      <c r="H21" s="865"/>
      <c r="I21" s="865"/>
      <c r="J21" s="865"/>
      <c r="K21" s="865"/>
      <c r="L21" s="865"/>
      <c r="M21" s="865"/>
      <c r="N21" s="813"/>
      <c r="O21" s="812" t="str">
        <f>EMPLOYMENT!$F$16</f>
        <v>FTEs</v>
      </c>
      <c r="P21" s="865"/>
      <c r="Q21" s="865"/>
      <c r="R21" s="865"/>
      <c r="S21" s="865"/>
      <c r="T21" s="865"/>
      <c r="U21" s="865"/>
      <c r="V21" s="865"/>
      <c r="W21" s="865"/>
      <c r="X21" s="813"/>
    </row>
    <row r="22" spans="4:24" ht="16.149999999999999" customHeight="1" thickTop="1" thickBot="1" x14ac:dyDescent="0.25">
      <c r="E22" s="248"/>
      <c r="F22" s="249"/>
      <c r="G22" s="250"/>
      <c r="H22" s="251"/>
      <c r="I22" s="251"/>
      <c r="J22" s="251"/>
      <c r="K22" s="251"/>
      <c r="L22" s="251"/>
      <c r="M22" s="251"/>
      <c r="N22" s="251"/>
      <c r="O22" s="248"/>
      <c r="P22" s="249"/>
      <c r="Q22" s="250"/>
      <c r="R22" s="251"/>
      <c r="S22" s="251"/>
      <c r="T22" s="251"/>
      <c r="U22" s="251"/>
      <c r="V22" s="251"/>
      <c r="W22" s="251"/>
      <c r="X22" s="252"/>
    </row>
    <row r="23" spans="4:24" ht="16.149999999999999" customHeight="1" thickTop="1" thickBot="1" x14ac:dyDescent="0.25">
      <c r="E23" s="248"/>
      <c r="F23" s="249"/>
      <c r="G23" s="248"/>
      <c r="H23" s="257"/>
      <c r="I23" s="249"/>
      <c r="J23" s="248"/>
      <c r="K23" s="257"/>
      <c r="L23" s="249"/>
      <c r="M23" s="258"/>
      <c r="N23" s="259"/>
      <c r="O23" s="248"/>
      <c r="P23" s="249"/>
      <c r="Q23" s="248"/>
      <c r="R23" s="257"/>
      <c r="S23" s="249"/>
      <c r="T23" s="248"/>
      <c r="U23" s="257"/>
      <c r="V23" s="249"/>
      <c r="W23" s="258"/>
      <c r="X23" s="260"/>
    </row>
    <row r="24" spans="4:24" ht="16.149999999999999" customHeight="1" thickTop="1" thickBot="1" x14ac:dyDescent="0.25">
      <c r="E24" s="265"/>
      <c r="F24" s="266"/>
      <c r="G24" s="267"/>
      <c r="H24" s="267"/>
      <c r="I24" s="267"/>
      <c r="J24" s="267"/>
      <c r="K24" s="267"/>
      <c r="L24" s="267"/>
      <c r="M24" s="268"/>
      <c r="N24" s="268"/>
      <c r="O24" s="265"/>
      <c r="P24" s="266"/>
      <c r="Q24" s="267"/>
      <c r="R24" s="267"/>
      <c r="S24" s="267"/>
      <c r="T24" s="267"/>
      <c r="U24" s="267"/>
      <c r="V24" s="267"/>
      <c r="W24" s="268"/>
      <c r="X24" s="140"/>
    </row>
    <row r="25" spans="4:24" ht="16.149999999999999" customHeight="1" thickTop="1" thickBot="1" x14ac:dyDescent="0.25">
      <c r="E25" s="271"/>
      <c r="F25" s="271"/>
      <c r="G25" s="142"/>
      <c r="H25" s="142"/>
      <c r="I25" s="142"/>
      <c r="J25" s="142"/>
      <c r="K25" s="142"/>
      <c r="L25" s="142"/>
      <c r="M25" s="199"/>
      <c r="N25" s="199"/>
      <c r="O25" s="271"/>
      <c r="P25" s="271"/>
      <c r="Q25" s="142"/>
      <c r="R25" s="142"/>
      <c r="S25" s="142"/>
      <c r="T25" s="142"/>
      <c r="U25" s="142"/>
      <c r="V25" s="142"/>
      <c r="W25" s="199"/>
      <c r="X25" s="199"/>
    </row>
    <row r="26" spans="4:24" ht="16.149999999999999" customHeight="1" thickTop="1" thickBot="1" x14ac:dyDescent="0.25">
      <c r="E26" s="271"/>
      <c r="F26" s="271"/>
      <c r="G26" s="142"/>
      <c r="H26" s="142"/>
      <c r="I26" s="142"/>
      <c r="J26" s="142"/>
      <c r="K26" s="142"/>
      <c r="L26" s="142"/>
      <c r="M26" s="199"/>
      <c r="N26" s="199"/>
      <c r="O26" s="271"/>
      <c r="P26" s="271"/>
      <c r="Q26" s="142"/>
      <c r="R26" s="142"/>
      <c r="S26" s="142"/>
      <c r="T26" s="142"/>
      <c r="U26" s="142"/>
      <c r="V26" s="142"/>
      <c r="W26" s="199"/>
      <c r="X26" s="199"/>
    </row>
    <row r="27" spans="4:24" ht="16.149999999999999" customHeight="1" thickTop="1" thickBot="1" x14ac:dyDescent="0.25">
      <c r="D27" s="203" t="str">
        <f ca="1">"'"&amp;$A$1&amp;"'!"&amp;CELL("address",G27)&amp;":"&amp;CELL("address",OFFSET(G27,0,COUNT(REP.yearsrange)-1))</f>
        <v>'KEY MEASURES'!$G$27:$K$27</v>
      </c>
      <c r="E27" s="271"/>
      <c r="F27" s="271"/>
      <c r="G27" s="142"/>
      <c r="H27" s="142"/>
      <c r="I27" s="142"/>
      <c r="J27" s="142"/>
      <c r="K27" s="142"/>
      <c r="L27" s="142"/>
      <c r="M27" s="199"/>
      <c r="N27" s="199"/>
      <c r="O27" s="271"/>
      <c r="P27" s="271"/>
      <c r="Q27" s="142"/>
      <c r="R27" s="142"/>
      <c r="S27" s="142"/>
      <c r="T27" s="142"/>
      <c r="U27" s="142"/>
      <c r="V27" s="142"/>
      <c r="W27" s="199"/>
      <c r="X27" s="199"/>
    </row>
    <row r="28" spans="4:24" ht="16.149999999999999" customHeight="1" thickTop="1" thickBot="1" x14ac:dyDescent="0.25">
      <c r="D28" s="203" t="str">
        <f ca="1">"'"&amp;$A$1&amp;"'!"&amp;CELL("address",G28)&amp;":"&amp;CELL("address",OFFSET(G28,0,COUNT(REP.yearsrange)-1))</f>
        <v>'KEY MEASURES'!$G$28:$K$28</v>
      </c>
      <c r="E28" s="273"/>
      <c r="F28" s="274"/>
      <c r="G28" s="275"/>
      <c r="H28" s="275"/>
      <c r="I28" s="275"/>
      <c r="J28" s="275"/>
      <c r="K28" s="275"/>
      <c r="L28" s="275"/>
      <c r="M28" s="276"/>
      <c r="N28" s="276"/>
      <c r="O28" s="273"/>
      <c r="P28" s="274"/>
      <c r="Q28" s="275"/>
      <c r="R28" s="275"/>
      <c r="S28" s="275"/>
      <c r="T28" s="275"/>
      <c r="U28" s="275"/>
      <c r="V28" s="275"/>
      <c r="W28" s="276"/>
      <c r="X28" s="276"/>
    </row>
    <row r="29" spans="4:24" ht="16.149999999999999" customHeight="1" thickTop="1" thickBot="1" x14ac:dyDescent="0.25">
      <c r="D29" s="203" t="str">
        <f ca="1">"'"&amp;$A$1&amp;"'!"&amp;CELL("address",G29)&amp;":"&amp;CELL("address",OFFSET(G29,0,COUNT(REP.yearsrange)-1))</f>
        <v>'KEY MEASURES'!$G$29:$K$29</v>
      </c>
      <c r="E29" s="273"/>
      <c r="F29" s="274"/>
      <c r="G29" s="275"/>
      <c r="H29" s="275"/>
      <c r="I29" s="275"/>
      <c r="J29" s="275"/>
      <c r="K29" s="275"/>
      <c r="L29" s="275"/>
      <c r="M29" s="276"/>
      <c r="N29" s="276"/>
      <c r="O29" s="273"/>
      <c r="P29" s="274"/>
      <c r="Q29" s="275"/>
      <c r="R29" s="275"/>
      <c r="S29" s="275"/>
      <c r="T29" s="275"/>
      <c r="U29" s="275"/>
      <c r="V29" s="275"/>
      <c r="W29" s="276"/>
      <c r="X29" s="276"/>
    </row>
    <row r="30" spans="4:24" ht="16.149999999999999" customHeight="1" thickTop="1" thickBot="1" x14ac:dyDescent="0.25">
      <c r="D30" s="203" t="str">
        <f ca="1">"'"&amp;$A$1&amp;"'!"&amp;CELL("address",G30)&amp;":"&amp;CELL("address",OFFSET(G30,0,COUNT(REP.yearsrange)-1))</f>
        <v>'KEY MEASURES'!$G$30:$K$30</v>
      </c>
      <c r="E30" s="273"/>
      <c r="F30" s="274"/>
      <c r="G30" s="275"/>
      <c r="H30" s="275"/>
      <c r="I30" s="275"/>
      <c r="J30" s="275"/>
      <c r="K30" s="275"/>
      <c r="L30" s="275"/>
      <c r="M30" s="276"/>
      <c r="N30" s="276"/>
      <c r="O30" s="273"/>
      <c r="P30" s="274"/>
      <c r="Q30" s="275"/>
      <c r="R30" s="275"/>
      <c r="S30" s="275"/>
      <c r="T30" s="275"/>
      <c r="U30" s="275"/>
      <c r="V30" s="275"/>
      <c r="W30" s="276"/>
      <c r="X30" s="276"/>
    </row>
    <row r="31" spans="4:24" ht="16.149999999999999" customHeight="1" thickTop="1" thickBot="1" x14ac:dyDescent="0.25">
      <c r="D31" s="203" t="str">
        <f ca="1">"'"&amp;$A$1&amp;"'!"&amp;CELL("address",G31)&amp;":"&amp;CELL("address",OFFSET(G31,0,COUNT(REP.yearsrange)-1))</f>
        <v>'KEY MEASURES'!$G$31:$K$31</v>
      </c>
      <c r="E31" s="273"/>
      <c r="F31" s="274"/>
      <c r="G31" s="275"/>
      <c r="H31" s="275"/>
      <c r="I31" s="275"/>
      <c r="J31" s="275"/>
      <c r="K31" s="275"/>
      <c r="L31" s="275"/>
      <c r="M31" s="276"/>
      <c r="N31" s="276"/>
      <c r="O31" s="273"/>
      <c r="P31" s="274"/>
      <c r="Q31" s="275"/>
      <c r="R31" s="275"/>
      <c r="S31" s="275"/>
      <c r="T31" s="275"/>
      <c r="U31" s="275"/>
      <c r="V31" s="275"/>
      <c r="W31" s="276"/>
      <c r="X31" s="276"/>
    </row>
    <row r="32" spans="4:24" ht="16.149999999999999" customHeight="1" thickTop="1" thickBot="1" x14ac:dyDescent="0.25">
      <c r="D32" s="203"/>
      <c r="E32" s="273"/>
      <c r="F32" s="274"/>
      <c r="G32" s="275"/>
      <c r="H32" s="275"/>
      <c r="I32" s="673"/>
      <c r="J32" s="673"/>
      <c r="K32" s="673"/>
      <c r="L32" s="673"/>
      <c r="M32" s="674"/>
      <c r="N32" s="674"/>
      <c r="O32" s="675"/>
      <c r="P32" s="676"/>
      <c r="Q32" s="673"/>
      <c r="R32" s="673"/>
      <c r="S32" s="275"/>
      <c r="T32" s="677"/>
      <c r="U32" s="677"/>
      <c r="V32" s="677"/>
      <c r="W32" s="678"/>
      <c r="X32" s="679"/>
    </row>
    <row r="33" spans="4:24" ht="16.149999999999999" customHeight="1" thickTop="1" thickBot="1" x14ac:dyDescent="0.25">
      <c r="D33" s="203" t="str">
        <f ca="1">"'"&amp;$A$1&amp;"'!"&amp;CELL("address",G33)&amp;":"&amp;CELL("address",OFFSET(G33,0,COUNT(REP.yearsrange)-1))</f>
        <v>'KEY MEASURES'!$G$33:$K$33</v>
      </c>
      <c r="E33" s="896" t="str">
        <f>"% Change from "&amp;MIN(REP.yearsrange)</f>
        <v>% Change from 2009</v>
      </c>
      <c r="F33" s="897"/>
      <c r="G33" s="204">
        <f t="array" ref="G33:R33">TRANSPOSE(REP.yearsrange)</f>
        <v>2009</v>
      </c>
      <c r="H33" s="204">
        <v>2010</v>
      </c>
      <c r="I33" s="205">
        <v>2011</v>
      </c>
      <c r="J33" s="205">
        <v>2012</v>
      </c>
      <c r="K33" s="205">
        <v>2013</v>
      </c>
      <c r="L33" s="205">
        <v>0</v>
      </c>
      <c r="M33" s="205">
        <v>0</v>
      </c>
      <c r="N33" s="205">
        <v>0</v>
      </c>
      <c r="O33" s="205">
        <v>0</v>
      </c>
      <c r="P33" s="205">
        <v>0</v>
      </c>
      <c r="Q33" s="205">
        <v>0</v>
      </c>
      <c r="R33" s="205">
        <v>0</v>
      </c>
      <c r="S33" s="275"/>
      <c r="T33" s="892" t="s">
        <v>141</v>
      </c>
      <c r="U33" s="892"/>
      <c r="V33" s="892"/>
      <c r="W33" s="892"/>
      <c r="X33" s="893"/>
    </row>
    <row r="34" spans="4:24" ht="16.149999999999999" customHeight="1" thickTop="1" thickBot="1" x14ac:dyDescent="0.25">
      <c r="D34" s="203"/>
      <c r="E34" s="898" t="str">
        <f>IF(REP.indexed="YES","Economic Impact - Indexed","Economic Impact - Historic Prices")</f>
        <v>Economic Impact - Historic Prices</v>
      </c>
      <c r="F34" s="899"/>
      <c r="G34" s="142">
        <f ca="1">IF('KEY MEASURES'!G$33=0,"",'ECONOMIC IMPACT'!G$30/'ECONOMIC IMPACT'!$G$30-1)</f>
        <v>0</v>
      </c>
      <c r="H34" s="142">
        <f ca="1">IF('KEY MEASURES'!H$33=0,"",'ECONOMIC IMPACT'!H$30/'ECONOMIC IMPACT'!$G$30-1)</f>
        <v>5.4982496236811507E-2</v>
      </c>
      <c r="I34" s="142">
        <f ca="1">IF('KEY MEASURES'!I$33=0,"",'ECONOMIC IMPACT'!I$30/'ECONOMIC IMPACT'!$G$30-1)</f>
        <v>5.1683030064255897E-2</v>
      </c>
      <c r="J34" s="142">
        <f ca="1">IF('KEY MEASURES'!J$33=0,"",'ECONOMIC IMPACT'!J$30/'ECONOMIC IMPACT'!$G$30-1)</f>
        <v>8.6967388125809064E-2</v>
      </c>
      <c r="K34" s="142">
        <f ca="1">IF('KEY MEASURES'!K$33=0,"",'ECONOMIC IMPACT'!K$30/'ECONOMIC IMPACT'!$G$30-1)</f>
        <v>0.18075273715351603</v>
      </c>
      <c r="L34" s="142" t="str">
        <f>IF('KEY MEASURES'!L$33=0,"",'ECONOMIC IMPACT'!L$30/'ECONOMIC IMPACT'!$G$30-1)</f>
        <v/>
      </c>
      <c r="M34" s="142" t="str">
        <f>IF('KEY MEASURES'!M$33=0,"",'ECONOMIC IMPACT'!M$30/'ECONOMIC IMPACT'!$G$30-1)</f>
        <v/>
      </c>
      <c r="N34" s="142" t="str">
        <f>IF('KEY MEASURES'!N$33=0,"",'ECONOMIC IMPACT'!N$30/'ECONOMIC IMPACT'!$G$30-1)</f>
        <v/>
      </c>
      <c r="O34" s="142" t="str">
        <f>IF('KEY MEASURES'!O$33=0,"",'ECONOMIC IMPACT'!O$30/'ECONOMIC IMPACT'!$G$30-1)</f>
        <v/>
      </c>
      <c r="P34" s="142" t="str">
        <f>IF('KEY MEASURES'!P$33=0,"",'ECONOMIC IMPACT'!P$30/'ECONOMIC IMPACT'!$G$30-1)</f>
        <v/>
      </c>
      <c r="Q34" s="142" t="str">
        <f>IF('KEY MEASURES'!Q$33=0,"",'ECONOMIC IMPACT'!Q$30/'ECONOMIC IMPACT'!$G$30-1)</f>
        <v/>
      </c>
      <c r="R34" s="142" t="str">
        <f>IF('KEY MEASURES'!R$33=0,"",'ECONOMIC IMPACT'!R$30/'ECONOMIC IMPACT'!$G$30-1)</f>
        <v/>
      </c>
      <c r="S34" s="283"/>
      <c r="T34" s="894"/>
      <c r="U34" s="894"/>
      <c r="V34" s="894"/>
      <c r="W34" s="894"/>
      <c r="X34" s="895"/>
    </row>
    <row r="35" spans="4:24" ht="16.149999999999999" customHeight="1" thickTop="1" thickBot="1" x14ac:dyDescent="0.25">
      <c r="D35" s="203"/>
      <c r="E35" s="900" t="str">
        <f ca="1">PROPER('VISITOR NUMBERS'!$U$6)</f>
        <v>Visitor Numbers</v>
      </c>
      <c r="F35" s="901"/>
      <c r="G35" s="142">
        <f ca="1">IF('KEY MEASURES'!G$33=0,"",'VISITOR NUMBERS'!G$30/'VISITOR NUMBERS'!$G$30-1)</f>
        <v>0</v>
      </c>
      <c r="H35" s="142">
        <f ca="1">IF('KEY MEASURES'!H$33=0,"",'VISITOR NUMBERS'!H$30/'VISITOR NUMBERS'!$G$30-1)</f>
        <v>1.1830353151735862E-2</v>
      </c>
      <c r="I35" s="142">
        <f ca="1">IF('KEY MEASURES'!I$33=0,"",'VISITOR NUMBERS'!I$30/'VISITOR NUMBERS'!$G$30-1)</f>
        <v>-1.6834412476418592E-4</v>
      </c>
      <c r="J35" s="142">
        <f ca="1">IF('KEY MEASURES'!J$33=0,"",'VISITOR NUMBERS'!J$30/'VISITOR NUMBERS'!$G$30-1)</f>
        <v>2.2575897713798643E-2</v>
      </c>
      <c r="K35" s="142">
        <f ca="1">IF('KEY MEASURES'!K$33=0,"",'VISITOR NUMBERS'!K$30/'VISITOR NUMBERS'!$G$30-1)</f>
        <v>0.11318657682740296</v>
      </c>
      <c r="L35" s="142" t="str">
        <f>IF('KEY MEASURES'!L$33=0,"",'VISITOR NUMBERS'!L$30/'VISITOR NUMBERS'!$G$30-1)</f>
        <v/>
      </c>
      <c r="M35" s="142" t="str">
        <f>IF('KEY MEASURES'!M$33=0,"",'VISITOR NUMBERS'!M$30/'VISITOR NUMBERS'!$G$30-1)</f>
        <v/>
      </c>
      <c r="N35" s="142" t="str">
        <f>IF('KEY MEASURES'!N$33=0,"",'VISITOR NUMBERS'!N$30/'VISITOR NUMBERS'!$G$30-1)</f>
        <v/>
      </c>
      <c r="O35" s="142" t="str">
        <f>IF('KEY MEASURES'!O$33=0,"",'VISITOR NUMBERS'!O$30/'VISITOR NUMBERS'!$G$30-1)</f>
        <v/>
      </c>
      <c r="P35" s="142" t="str">
        <f>IF('KEY MEASURES'!P$33=0,"",'VISITOR NUMBERS'!P$30/'VISITOR NUMBERS'!$G$30-1)</f>
        <v/>
      </c>
      <c r="Q35" s="142" t="str">
        <f>IF('KEY MEASURES'!Q$33=0,"",'VISITOR NUMBERS'!Q$30/'VISITOR NUMBERS'!$G$30-1)</f>
        <v/>
      </c>
      <c r="R35" s="142" t="str">
        <f>IF('KEY MEASURES'!R$33=0,"",'VISITOR NUMBERS'!R$30/'VISITOR NUMBERS'!$G$30-1)</f>
        <v/>
      </c>
      <c r="S35" s="283"/>
      <c r="T35" s="283"/>
      <c r="U35" s="283"/>
      <c r="V35" s="283"/>
      <c r="W35" s="284"/>
      <c r="X35" s="285"/>
    </row>
    <row r="36" spans="4:24" ht="16.149999999999999" customHeight="1" thickTop="1" thickBot="1" x14ac:dyDescent="0.25">
      <c r="D36" s="203"/>
      <c r="E36" s="902" t="str">
        <f ca="1">PROPER('VISITOR DAYS'!$U$6)</f>
        <v>Visitor Days</v>
      </c>
      <c r="F36" s="903"/>
      <c r="G36" s="142">
        <f ca="1">IF('KEY MEASURES'!G$33=0,"",'VISITOR DAYS'!G$30/'VISITOR DAYS'!$G$30-1)</f>
        <v>0</v>
      </c>
      <c r="H36" s="142">
        <f ca="1">IF('KEY MEASURES'!H$33=0,"",'VISITOR DAYS'!H$30/'VISITOR DAYS'!$G$30-1)</f>
        <v>3.3685655497170508E-2</v>
      </c>
      <c r="I36" s="142">
        <f ca="1">IF('KEY MEASURES'!I$33=0,"",'VISITOR DAYS'!I$30/'VISITOR DAYS'!$G$30-1)</f>
        <v>-1.4438969967861759E-2</v>
      </c>
      <c r="J36" s="142">
        <f ca="1">IF('KEY MEASURES'!J$33=0,"",'VISITOR DAYS'!J$30/'VISITOR DAYS'!$G$30-1)</f>
        <v>-2.2965205466532468E-2</v>
      </c>
      <c r="K36" s="142">
        <f ca="1">IF('KEY MEASURES'!K$33=0,"",'VISITOR DAYS'!K$30/'VISITOR DAYS'!$G$30-1)</f>
        <v>4.1995349488723077E-2</v>
      </c>
      <c r="L36" s="142" t="str">
        <f>IF('KEY MEASURES'!L$33=0,"",'VISITOR DAYS'!L$30/'VISITOR DAYS'!$G$30-1)</f>
        <v/>
      </c>
      <c r="M36" s="142" t="str">
        <f>IF('KEY MEASURES'!M$33=0,"",'VISITOR DAYS'!M$30/'VISITOR DAYS'!$G$30-1)</f>
        <v/>
      </c>
      <c r="N36" s="142" t="str">
        <f>IF('KEY MEASURES'!N$33=0,"",'VISITOR DAYS'!N$30/'VISITOR DAYS'!$G$30-1)</f>
        <v/>
      </c>
      <c r="O36" s="142" t="str">
        <f>IF('KEY MEASURES'!O$33=0,"",'VISITOR DAYS'!O$30/'VISITOR DAYS'!$G$30-1)</f>
        <v/>
      </c>
      <c r="P36" s="142" t="str">
        <f>IF('KEY MEASURES'!P$33=0,"",'VISITOR DAYS'!P$30/'VISITOR DAYS'!$G$30-1)</f>
        <v/>
      </c>
      <c r="Q36" s="142" t="str">
        <f>IF('KEY MEASURES'!Q$33=0,"",'VISITOR DAYS'!Q$30/'VISITOR DAYS'!$G$30-1)</f>
        <v/>
      </c>
      <c r="R36" s="142" t="str">
        <f>IF('KEY MEASURES'!R$33=0,"",'VISITOR DAYS'!R$30/'VISITOR DAYS'!$G$30-1)</f>
        <v/>
      </c>
      <c r="S36" s="283"/>
      <c r="T36" s="283"/>
      <c r="U36" s="283"/>
      <c r="V36" s="283"/>
      <c r="W36" s="284"/>
      <c r="X36" s="285"/>
    </row>
    <row r="37" spans="4:24" ht="16.149999999999999" customHeight="1" thickTop="1" thickBot="1" x14ac:dyDescent="0.25">
      <c r="D37" s="203"/>
      <c r="E37" s="885" t="str">
        <f ca="1">PROPER(EMPLOYMENT!$U$6)</f>
        <v>Total Employment</v>
      </c>
      <c r="F37" s="886"/>
      <c r="G37" s="142">
        <f ca="1">IF('KEY MEASURES'!G$33=0,"",EMPLOYMENT!G$30/EMPLOYMENT!$G$30-1)</f>
        <v>0</v>
      </c>
      <c r="H37" s="142">
        <f ca="1">IF('KEY MEASURES'!H$33=0,"",EMPLOYMENT!H$30/EMPLOYMENT!$G$30-1)</f>
        <v>-1.5895863465864579E-4</v>
      </c>
      <c r="I37" s="142">
        <f ca="1">IF('KEY MEASURES'!I$33=0,"",EMPLOYMENT!I$30/EMPLOYMENT!$G$30-1)</f>
        <v>-3.50443527269928E-2</v>
      </c>
      <c r="J37" s="142">
        <f ca="1">IF('KEY MEASURES'!J$33=0,"",EMPLOYMENT!J$30/EMPLOYMENT!$G$30-1)</f>
        <v>-3.1577898605477661E-2</v>
      </c>
      <c r="K37" s="142">
        <f ca="1">IF('KEY MEASURES'!K$33=0,"",EMPLOYMENT!K$30/EMPLOYMENT!$G$30-1)</f>
        <v>3.4046225762036642E-3</v>
      </c>
      <c r="L37" s="142" t="str">
        <f>IF('KEY MEASURES'!L$33=0,"",EMPLOYMENT!L$30/EMPLOYMENT!$G$30-1)</f>
        <v/>
      </c>
      <c r="M37" s="142" t="str">
        <f>IF('KEY MEASURES'!M$33=0,"",EMPLOYMENT!M$30/EMPLOYMENT!$G$30-1)</f>
        <v/>
      </c>
      <c r="N37" s="142" t="str">
        <f>IF('KEY MEASURES'!N$33=0,"",EMPLOYMENT!N$30/EMPLOYMENT!$G$30-1)</f>
        <v/>
      </c>
      <c r="O37" s="142" t="str">
        <f>IF('KEY MEASURES'!O$33=0,"",EMPLOYMENT!O$30/EMPLOYMENT!$G$30-1)</f>
        <v/>
      </c>
      <c r="P37" s="142" t="str">
        <f>IF('KEY MEASURES'!P$33=0,"",EMPLOYMENT!P$30/EMPLOYMENT!$G$30-1)</f>
        <v/>
      </c>
      <c r="Q37" s="142" t="str">
        <f>IF('KEY MEASURES'!Q$33=0,"",EMPLOYMENT!Q$30/EMPLOYMENT!$G$30-1)</f>
        <v/>
      </c>
      <c r="R37" s="142" t="str">
        <f>IF('KEY MEASURES'!R$33=0,"",EMPLOYMENT!R$30/EMPLOYMENT!$G$30-1)</f>
        <v/>
      </c>
      <c r="S37" s="283"/>
      <c r="T37" s="283"/>
      <c r="U37" s="283"/>
      <c r="V37" s="283"/>
      <c r="W37" s="284"/>
      <c r="X37" s="285"/>
    </row>
    <row r="38" spans="4:24" s="181" customFormat="1" ht="16.149999999999999" customHeight="1" thickTop="1" thickBot="1" x14ac:dyDescent="0.2">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row>
    <row r="39" spans="4:24" ht="16.149999999999999" customHeight="1" thickTop="1" x14ac:dyDescent="0.2"/>
    <row r="40" spans="4:24" ht="16.149999999999999" customHeight="1" x14ac:dyDescent="0.2">
      <c r="G40" s="247"/>
      <c r="H40" s="247"/>
      <c r="I40" s="247"/>
      <c r="J40" s="247"/>
      <c r="K40" s="247"/>
      <c r="L40" s="247"/>
      <c r="M40" s="247"/>
      <c r="N40" s="247"/>
      <c r="O40" s="247"/>
      <c r="P40" s="247"/>
      <c r="Q40" s="247"/>
      <c r="R40" s="247"/>
      <c r="S40" s="247"/>
      <c r="T40" s="247"/>
      <c r="U40" s="247"/>
      <c r="V40" s="247"/>
    </row>
    <row r="41" spans="4:24" ht="16.149999999999999" customHeight="1" x14ac:dyDescent="0.2">
      <c r="G41" s="247"/>
      <c r="H41" s="247"/>
      <c r="I41" s="247"/>
      <c r="J41" s="247"/>
      <c r="K41" s="247"/>
      <c r="L41" s="247"/>
      <c r="M41" s="247"/>
      <c r="N41" s="247"/>
      <c r="O41" s="247"/>
      <c r="P41" s="247"/>
      <c r="Q41" s="247"/>
      <c r="R41" s="247"/>
      <c r="S41" s="247"/>
      <c r="T41" s="247"/>
      <c r="U41" s="247"/>
      <c r="V41" s="247"/>
    </row>
    <row r="70" spans="7:23" ht="16.149999999999999" customHeight="1" x14ac:dyDescent="0.2">
      <c r="G70" s="118" t="s">
        <v>44</v>
      </c>
      <c r="H70" s="118" t="s">
        <v>44</v>
      </c>
      <c r="J70" s="118" t="s">
        <v>49</v>
      </c>
      <c r="K70" s="118" t="s">
        <v>49</v>
      </c>
      <c r="M70" s="118" t="s">
        <v>19</v>
      </c>
      <c r="N70" s="118" t="s">
        <v>19</v>
      </c>
      <c r="P70" s="118" t="s">
        <v>97</v>
      </c>
      <c r="S70" s="118" t="s">
        <v>73</v>
      </c>
      <c r="T70" s="118" t="s">
        <v>73</v>
      </c>
      <c r="V70" s="118" t="s">
        <v>55</v>
      </c>
      <c r="W70" s="118" t="s">
        <v>55</v>
      </c>
    </row>
  </sheetData>
  <sheetProtection algorithmName="SHA-512" hashValue="oS0K9D4tzIx3ay7ASOQqyj+HkoqccE9CrV//OSvftceMx0fF7hCDh84KpjdyIadZ74NW3K8ZGpFuGDYbhujQNQ==" saltValue="O1djyBOowfUvoIXfri3r8A==" spinCount="100000" sheet="1" objects="1" scenarios="1"/>
  <mergeCells count="18">
    <mergeCell ref="E37:F37"/>
    <mergeCell ref="E20:N20"/>
    <mergeCell ref="E21:N21"/>
    <mergeCell ref="O20:X20"/>
    <mergeCell ref="O21:X21"/>
    <mergeCell ref="T33:X34"/>
    <mergeCell ref="E33:F33"/>
    <mergeCell ref="E34:F34"/>
    <mergeCell ref="E35:F35"/>
    <mergeCell ref="E36:F36"/>
    <mergeCell ref="E9:N9"/>
    <mergeCell ref="O8:X8"/>
    <mergeCell ref="O9:X9"/>
    <mergeCell ref="S6:T7"/>
    <mergeCell ref="U6:X7"/>
    <mergeCell ref="O6:R6"/>
    <mergeCell ref="O7:R7"/>
    <mergeCell ref="E8:N8"/>
  </mergeCells>
  <conditionalFormatting sqref="I33:Q33 E34:E37">
    <cfRule type="expression" dxfId="178" priority="17">
      <formula>E33=0</formula>
    </cfRule>
  </conditionalFormatting>
  <conditionalFormatting sqref="R33">
    <cfRule type="expression" dxfId="177" priority="16">
      <formula>R33=0</formula>
    </cfRule>
  </conditionalFormatting>
  <conditionalFormatting sqref="G34:R37">
    <cfRule type="cellIs" dxfId="176" priority="8" operator="lessThanOrEqual">
      <formula>-REP.percenthighlight</formula>
    </cfRule>
    <cfRule type="cellIs" dxfId="175" priority="9" operator="greaterThanOrEqual">
      <formula>REP.percenthighlight</formula>
    </cfRule>
  </conditionalFormatting>
  <conditionalFormatting sqref="G34:R37">
    <cfRule type="expression" dxfId="174" priority="7" stopIfTrue="1">
      <formula>G$33=0</formula>
    </cfRule>
  </conditionalFormatting>
  <conditionalFormatting sqref="S6:T7">
    <cfRule type="expression" dxfId="173" priority="1">
      <formula>TYPE.no=6</formula>
    </cfRule>
    <cfRule type="expression" dxfId="172" priority="2">
      <formula>TYPE.no=5</formula>
    </cfRule>
    <cfRule type="expression" dxfId="171" priority="3">
      <formula>TYPE.no=4</formula>
    </cfRule>
    <cfRule type="expression" dxfId="170" priority="4">
      <formula>TYPE.no=3</formula>
    </cfRule>
    <cfRule type="expression" dxfId="169" priority="5">
      <formula>TYPE.no=2</formula>
    </cfRule>
    <cfRule type="expression" dxfId="168" priority="6">
      <formula>TYPE.no=1</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9266" r:id="rId4" name="Drop Down 2">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39267" r:id="rId5" name="Drop Down 3">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mc:AlternateContent xmlns:mc="http://schemas.openxmlformats.org/markup-compatibility/2006">
          <mc:Choice Requires="x14">
            <control shapeId="139270" r:id="rId6" name="Drop Down 6">
              <controlPr defaultSize="0" autoLine="0" autoPict="0">
                <anchor moveWithCells="1">
                  <from>
                    <xdr:col>21</xdr:col>
                    <xdr:colOff>200025</xdr:colOff>
                    <xdr:row>4</xdr:row>
                    <xdr:rowOff>19050</xdr:rowOff>
                  </from>
                  <to>
                    <xdr:col>22</xdr:col>
                    <xdr:colOff>285750</xdr:colOff>
                    <xdr:row>4</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8">
    <tabColor theme="7" tint="-0.499984740745262"/>
    <outlinePr showOutlineSymbols="0"/>
    <pageSetUpPr autoPageBreaks="0" fitToPage="1"/>
  </sheetPr>
  <dimension ref="A1:AD83"/>
  <sheetViews>
    <sheetView showGridLines="0" showRowColHeaders="0" showZeros="0"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3" width="4.85546875" style="118"/>
    <col min="4" max="4" width="4.85546875" style="119"/>
    <col min="5" max="5" width="19.5703125" style="118" customWidth="1"/>
    <col min="6" max="6" width="5.140625" style="118" customWidth="1"/>
    <col min="7" max="24" width="7.28515625" style="118" customWidth="1"/>
    <col min="25" max="25" width="7.140625" style="118" bestFit="1" customWidth="1"/>
    <col min="26" max="26" width="8.42578125" style="118" bestFit="1" customWidth="1"/>
    <col min="27" max="16384" width="4.85546875" style="118"/>
  </cols>
  <sheetData>
    <row r="1" spans="1:24" ht="16.149999999999999" hidden="1" customHeight="1" thickTop="1" thickBot="1" x14ac:dyDescent="0.25">
      <c r="A1" s="117" t="str">
        <f ca="1">MID(CELL("filename",A1),FIND("]",CELL("filename",A1))+1,255)</f>
        <v>VISITOR TYPE DISTRIBUTION</v>
      </c>
      <c r="E1" s="120"/>
      <c r="F1" s="121"/>
      <c r="G1" s="121"/>
      <c r="H1" s="121"/>
      <c r="I1" s="121"/>
      <c r="J1" s="121"/>
      <c r="K1" s="121"/>
      <c r="L1" s="121"/>
      <c r="M1" s="121"/>
      <c r="N1" s="121"/>
      <c r="O1" s="121"/>
      <c r="P1" s="121"/>
      <c r="Q1" s="121"/>
      <c r="R1" s="121"/>
      <c r="S1" s="121"/>
      <c r="T1" s="121"/>
      <c r="U1" s="121"/>
      <c r="V1" s="121"/>
      <c r="W1" s="121"/>
      <c r="X1" s="122"/>
    </row>
    <row r="2" spans="1:24" ht="16.149999999999999" customHeight="1" thickTop="1" x14ac:dyDescent="0.2">
      <c r="E2" s="123"/>
      <c r="F2" s="124"/>
      <c r="G2" s="124"/>
      <c r="H2" s="124"/>
      <c r="I2" s="124"/>
      <c r="J2" s="124"/>
      <c r="K2" s="124"/>
      <c r="L2" s="124"/>
      <c r="M2" s="124"/>
      <c r="N2" s="124"/>
      <c r="O2" s="124"/>
      <c r="P2" s="124"/>
      <c r="Q2" s="124"/>
      <c r="R2" s="124"/>
      <c r="S2" s="124"/>
      <c r="T2" s="124"/>
      <c r="U2" s="124"/>
      <c r="V2" s="124"/>
      <c r="W2" s="124"/>
      <c r="X2" s="125"/>
    </row>
    <row r="3" spans="1:24" ht="26.45" customHeight="1" x14ac:dyDescent="0.2">
      <c r="E3" s="126"/>
      <c r="F3" s="127"/>
      <c r="G3" s="127"/>
      <c r="H3" s="127"/>
      <c r="I3" s="127"/>
      <c r="J3" s="127"/>
      <c r="K3" s="127"/>
      <c r="L3" s="127"/>
      <c r="M3" s="127"/>
      <c r="N3" s="127"/>
      <c r="O3" s="127"/>
      <c r="P3" s="127"/>
      <c r="Q3" s="127"/>
      <c r="R3" s="127"/>
      <c r="S3" s="127"/>
      <c r="T3" s="127"/>
      <c r="U3" s="127"/>
      <c r="V3" s="127"/>
      <c r="W3" s="127"/>
      <c r="X3" s="128"/>
    </row>
    <row r="4" spans="1:24" ht="26.45" customHeight="1" x14ac:dyDescent="0.2">
      <c r="E4" s="211"/>
      <c r="F4" s="212"/>
      <c r="G4" s="212"/>
      <c r="H4" s="212"/>
      <c r="I4" s="212"/>
      <c r="J4" s="212"/>
      <c r="K4" s="212"/>
      <c r="L4" s="212"/>
      <c r="M4" s="212"/>
      <c r="N4" s="212"/>
      <c r="O4" s="212"/>
      <c r="P4" s="212"/>
      <c r="Q4" s="212"/>
      <c r="R4" s="212"/>
      <c r="S4" s="212"/>
      <c r="T4" s="212"/>
      <c r="U4" s="212"/>
      <c r="V4" s="212"/>
      <c r="W4" s="212"/>
      <c r="X4" s="213"/>
    </row>
    <row r="5" spans="1:24" ht="26.45" customHeight="1" thickBot="1" x14ac:dyDescent="0.25">
      <c r="E5" s="214"/>
      <c r="F5" s="215"/>
      <c r="G5" s="215"/>
      <c r="H5" s="215"/>
      <c r="I5" s="215"/>
      <c r="J5" s="215"/>
      <c r="K5" s="215"/>
      <c r="L5" s="215"/>
      <c r="M5" s="413" t="str">
        <f>"INDEXATION TO "&amp;MAX(REP.yearsrange)&amp;" PRICES"</f>
        <v>INDEXATION TO 2013 PRICES</v>
      </c>
      <c r="N5" s="215"/>
      <c r="O5" s="215"/>
      <c r="P5" s="215"/>
      <c r="Q5" s="215"/>
      <c r="R5" s="215"/>
      <c r="S5" s="215"/>
      <c r="T5" s="215"/>
      <c r="U5" s="215"/>
      <c r="V5" s="215"/>
      <c r="W5" s="215"/>
      <c r="X5" s="216"/>
    </row>
    <row r="6" spans="1:24" ht="16.149999999999999" customHeight="1" thickTop="1" x14ac:dyDescent="0.2">
      <c r="E6" s="456" t="str">
        <f>REP.title1</f>
        <v>STEAM FINAL TREND REPORT FOR 2009-2013</v>
      </c>
      <c r="F6" s="457"/>
      <c r="G6" s="457"/>
      <c r="H6" s="457"/>
      <c r="I6" s="457"/>
      <c r="J6" s="457"/>
      <c r="K6" s="457"/>
      <c r="L6" s="457"/>
      <c r="M6" s="457"/>
      <c r="N6" s="457"/>
      <c r="O6" s="879">
        <f>CHARTYEAR</f>
        <v>2013</v>
      </c>
      <c r="P6" s="880"/>
      <c r="Q6" s="880"/>
      <c r="R6" s="881"/>
      <c r="S6" s="904" t="str">
        <f>UPPER(TOTAL)</f>
        <v>TOTAL</v>
      </c>
      <c r="T6" s="905"/>
      <c r="U6" s="908" t="str">
        <f>IF(REP.indexed="YES","DISTRIBUTION BY VISITOR TYPE"&amp;CHAR(10)&amp;"Indexed","DISTRIBUTION BY VISITOR TYPE"&amp;CHAR(10)&amp;"Historic Prices")</f>
        <v>DISTRIBUTION BY VISITOR TYPE
Historic Prices</v>
      </c>
      <c r="V6" s="909"/>
      <c r="W6" s="909"/>
      <c r="X6" s="910"/>
    </row>
    <row r="7" spans="1:24" ht="16.149999999999999" customHeight="1" thickBot="1" x14ac:dyDescent="0.25">
      <c r="E7" s="458" t="str">
        <f>REP.title2</f>
        <v>MORAY HIE</v>
      </c>
      <c r="F7" s="459"/>
      <c r="G7" s="459"/>
      <c r="H7" s="459"/>
      <c r="I7" s="460"/>
      <c r="J7" s="460"/>
      <c r="K7" s="460"/>
      <c r="L7" s="460"/>
      <c r="M7" s="460"/>
      <c r="N7" s="460"/>
      <c r="O7" s="882" t="str">
        <f>IF(REP.indexed="YES",MAX(REP.yearsrange)&amp;" Prices","Historic Prices")</f>
        <v>Historic Prices</v>
      </c>
      <c r="P7" s="883"/>
      <c r="Q7" s="883"/>
      <c r="R7" s="884"/>
      <c r="S7" s="906"/>
      <c r="T7" s="907"/>
      <c r="U7" s="911"/>
      <c r="V7" s="912"/>
      <c r="W7" s="912"/>
      <c r="X7" s="913"/>
    </row>
    <row r="8" spans="1:24" ht="16.149999999999999" customHeight="1" thickTop="1" thickBot="1" x14ac:dyDescent="0.25">
      <c r="E8" s="803" t="str">
        <f>IF(REP.indexed="YES","ECONOMIC IMPACT - "&amp;CHARTYEAR&amp;" Indexed - £M","Economic Impact - Historic Prices - £M")&amp;" - Share of Total"</f>
        <v>Economic Impact - Historic Prices - £M - Share of Total</v>
      </c>
      <c r="F8" s="804"/>
      <c r="G8" s="804"/>
      <c r="H8" s="804"/>
      <c r="I8" s="804"/>
      <c r="J8" s="804"/>
      <c r="K8" s="804"/>
      <c r="L8" s="804"/>
      <c r="M8" s="804"/>
      <c r="N8" s="804"/>
      <c r="O8" s="866" t="str">
        <f ca="1">PROPER('VISITOR NUMBERS'!$U$6)&amp;" - "&amp;CHARTYEAR&amp;" - M - Share of Total"</f>
        <v>Visitor Numbers - 2013 - M - Share of Total</v>
      </c>
      <c r="P8" s="867"/>
      <c r="Q8" s="867"/>
      <c r="R8" s="867"/>
      <c r="S8" s="867"/>
      <c r="T8" s="867"/>
      <c r="U8" s="867"/>
      <c r="V8" s="867"/>
      <c r="W8" s="867"/>
      <c r="X8" s="868"/>
    </row>
    <row r="9" spans="1:24" s="132" customFormat="1" ht="16.149999999999999" customHeight="1" thickTop="1" x14ac:dyDescent="0.2">
      <c r="E9" s="501"/>
      <c r="F9" s="502"/>
      <c r="G9" s="503" t="s">
        <v>146</v>
      </c>
      <c r="H9" s="502" t="s">
        <v>175</v>
      </c>
      <c r="I9" s="502" t="s">
        <v>176</v>
      </c>
      <c r="J9" s="502" t="s">
        <v>56</v>
      </c>
      <c r="K9" s="502"/>
      <c r="L9" s="502"/>
      <c r="M9" s="502"/>
      <c r="N9" s="504"/>
      <c r="O9" s="505"/>
      <c r="P9" s="502"/>
      <c r="Q9" s="502"/>
      <c r="R9" s="502"/>
      <c r="S9" s="502"/>
      <c r="T9" s="502"/>
      <c r="U9" s="502"/>
      <c r="V9" s="502"/>
      <c r="W9" s="502"/>
      <c r="X9" s="504"/>
    </row>
    <row r="10" spans="1:24" s="132" customFormat="1" ht="16.149999999999999" customHeight="1" x14ac:dyDescent="0.2">
      <c r="E10" s="506" t="str">
        <f t="array" ref="E10:E14">INDEX(TYPE.choices,{5;6;2;3;4})</f>
        <v>Staying Visitor</v>
      </c>
      <c r="F10" s="507"/>
      <c r="G10" s="508">
        <f>SUM(G12:G14)</f>
        <v>80470.398492278007</v>
      </c>
      <c r="H10" s="508">
        <f t="shared" ref="H10:J10" si="0">SUM(H12:H14)</f>
        <v>1459.821066422003</v>
      </c>
      <c r="I10" s="508">
        <f t="shared" si="0"/>
        <v>411.59621559471384</v>
      </c>
      <c r="J10" s="508">
        <f t="shared" si="0"/>
        <v>2101.1456777552821</v>
      </c>
      <c r="K10" s="507"/>
      <c r="L10" s="507"/>
      <c r="M10" s="507"/>
      <c r="N10" s="509"/>
      <c r="O10" s="510"/>
      <c r="P10" s="507"/>
      <c r="Q10" s="507"/>
      <c r="R10" s="507"/>
      <c r="S10" s="511"/>
      <c r="T10" s="511"/>
      <c r="U10" s="507"/>
      <c r="V10" s="507"/>
      <c r="W10" s="507"/>
      <c r="X10" s="509"/>
    </row>
    <row r="11" spans="1:24" s="132" customFormat="1" ht="16.149999999999999" customHeight="1" x14ac:dyDescent="0.2">
      <c r="E11" s="506" t="str">
        <v>Day Visitor</v>
      </c>
      <c r="F11" s="507"/>
      <c r="G11" s="508">
        <f>VLOOKUP(CHARTYEAR&amp;"."&amp;"ECONOMIC IMPACT"&amp;"."&amp;$E11,REP.data,18,FALSE)*INDEX(REP.indexationfactors,(MATCH(CHARTYEAR,REP.yearsrange,0)))</f>
        <v>14157.493048568762</v>
      </c>
      <c r="H11" s="508">
        <f>VLOOKUP(CHARTYEAR&amp;"."&amp;H$9&amp;"."&amp;$E11,REP.data,18,FALSE)</f>
        <v>289.1828468826136</v>
      </c>
      <c r="I11" s="508">
        <f>VLOOKUP(CHARTYEAR&amp;"."&amp;I$9&amp;"."&amp;$E11,REP.data,18,FALSE)</f>
        <v>289.1828468826136</v>
      </c>
      <c r="J11" s="508">
        <f>VLOOKUP(CHARTYEAR&amp;"."&amp;"Employment"&amp;"."&amp;$E11,REP.data,18,FALSE)</f>
        <v>186.39756808206346</v>
      </c>
      <c r="K11" s="507"/>
      <c r="L11" s="507"/>
      <c r="M11" s="511"/>
      <c r="N11" s="512"/>
      <c r="O11" s="513"/>
      <c r="P11" s="511"/>
      <c r="Q11" s="511"/>
      <c r="R11" s="511"/>
      <c r="S11" s="511"/>
      <c r="T11" s="511"/>
      <c r="U11" s="507"/>
      <c r="V11" s="507"/>
      <c r="W11" s="507"/>
      <c r="X11" s="509"/>
    </row>
    <row r="12" spans="1:24" ht="16.149999999999999" customHeight="1" x14ac:dyDescent="0.2">
      <c r="E12" s="514" t="str">
        <v>Serviced Accommodation</v>
      </c>
      <c r="F12" s="515"/>
      <c r="G12" s="508">
        <f>VLOOKUP(CHARTYEAR&amp;"."&amp;"ECONOMIC IMPACT"&amp;"."&amp;$E12,REP.data,18,FALSE)*INDEX(REP.indexationfactors,(MATCH(CHARTYEAR,REP.yearsrange,0)))</f>
        <v>45078.028695324305</v>
      </c>
      <c r="H12" s="508">
        <f>VLOOKUP(CHARTYEAR&amp;"."&amp;H$9&amp;"."&amp;$E12,REP.data,18,FALSE)</f>
        <v>437.4696870178675</v>
      </c>
      <c r="I12" s="508">
        <f>VLOOKUP(CHARTYEAR&amp;"."&amp;I$9&amp;"."&amp;$E12,REP.data,18,FALSE)</f>
        <v>228.66376542239146</v>
      </c>
      <c r="J12" s="508">
        <f>VLOOKUP(CHARTYEAR&amp;"."&amp;"Employment"&amp;"."&amp;$E12,REP.data,18,FALSE)</f>
        <v>1374.7079044578929</v>
      </c>
      <c r="K12" s="516"/>
      <c r="L12" s="516"/>
      <c r="M12" s="516"/>
      <c r="N12" s="517"/>
      <c r="O12" s="518"/>
      <c r="P12" s="516"/>
      <c r="Q12" s="516"/>
      <c r="R12" s="516"/>
      <c r="S12" s="511"/>
      <c r="T12" s="511"/>
      <c r="U12" s="519"/>
      <c r="V12" s="519"/>
      <c r="W12" s="519"/>
      <c r="X12" s="520"/>
    </row>
    <row r="13" spans="1:24" ht="16.149999999999999" customHeight="1" x14ac:dyDescent="0.2">
      <c r="E13" s="506" t="str">
        <v>Non-Serviced Accommodation</v>
      </c>
      <c r="F13" s="507"/>
      <c r="G13" s="508">
        <f>VLOOKUP(CHARTYEAR&amp;"."&amp;"ECONOMIC IMPACT"&amp;"."&amp;$E13,REP.data,18,FALSE)*INDEX(REP.indexationfactors,(MATCH(CHARTYEAR,REP.yearsrange,0)))</f>
        <v>21237.500543131937</v>
      </c>
      <c r="H13" s="508">
        <f>VLOOKUP(CHARTYEAR&amp;"."&amp;H$9&amp;"."&amp;$E13,REP.data,18,FALSE)</f>
        <v>498.23014280166751</v>
      </c>
      <c r="I13" s="508">
        <f>VLOOKUP(CHARTYEAR&amp;"."&amp;I$9&amp;"."&amp;$E13,REP.data,18,FALSE)</f>
        <v>66.886254634613451</v>
      </c>
      <c r="J13" s="508">
        <f>VLOOKUP(CHARTYEAR&amp;"."&amp;"Employment"&amp;"."&amp;$E13,REP.data,18,FALSE)</f>
        <v>540.18453310661721</v>
      </c>
      <c r="K13" s="519"/>
      <c r="L13" s="519"/>
      <c r="M13" s="519"/>
      <c r="N13" s="520"/>
      <c r="O13" s="521"/>
      <c r="P13" s="519"/>
      <c r="Q13" s="519"/>
      <c r="R13" s="519"/>
      <c r="S13" s="519"/>
      <c r="T13" s="522"/>
      <c r="U13" s="519"/>
      <c r="V13" s="519"/>
      <c r="W13" s="519"/>
      <c r="X13" s="520"/>
    </row>
    <row r="14" spans="1:24" ht="16.149999999999999" customHeight="1" x14ac:dyDescent="0.2">
      <c r="E14" s="523" t="str">
        <v>SFR</v>
      </c>
      <c r="F14" s="516"/>
      <c r="G14" s="508">
        <f>VLOOKUP(CHARTYEAR&amp;"."&amp;"ECONOMIC IMPACT"&amp;"."&amp;$E14,REP.data,18,FALSE)*INDEX(REP.indexationfactors,(MATCH(CHARTYEAR,REP.yearsrange,0)))</f>
        <v>14154.86925382176</v>
      </c>
      <c r="H14" s="508">
        <f>VLOOKUP(CHARTYEAR&amp;"."&amp;H$9&amp;"."&amp;$E14,REP.data,18,FALSE)</f>
        <v>524.121236602468</v>
      </c>
      <c r="I14" s="508">
        <f>VLOOKUP(CHARTYEAR&amp;"."&amp;I$9&amp;"."&amp;$E14,REP.data,18,FALSE)</f>
        <v>116.04619553770891</v>
      </c>
      <c r="J14" s="508">
        <f>VLOOKUP(CHARTYEAR&amp;"."&amp;"Employment"&amp;"."&amp;$E14,REP.data,18,FALSE)</f>
        <v>186.25324019077183</v>
      </c>
      <c r="K14" s="519"/>
      <c r="L14" s="519"/>
      <c r="M14" s="519"/>
      <c r="N14" s="520"/>
      <c r="O14" s="521"/>
      <c r="P14" s="519"/>
      <c r="Q14" s="519"/>
      <c r="R14" s="519"/>
      <c r="S14" s="519"/>
      <c r="T14" s="522"/>
      <c r="U14" s="519"/>
      <c r="V14" s="519"/>
      <c r="W14" s="519"/>
      <c r="X14" s="520"/>
    </row>
    <row r="15" spans="1:24" ht="16.149999999999999" customHeight="1" x14ac:dyDescent="0.2">
      <c r="E15" s="523" t="str">
        <f>E11</f>
        <v>Day Visitor</v>
      </c>
      <c r="F15" s="516"/>
      <c r="G15" s="508">
        <f>VLOOKUP(CHARTYEAR&amp;"."&amp;"ECONOMIC IMPACT"&amp;"."&amp;$E15,REP.data,18,FALSE)*INDEX(REP.indexationfactors,(MATCH(CHARTYEAR,REP.yearsrange,0)))</f>
        <v>14157.493048568762</v>
      </c>
      <c r="H15" s="508">
        <f>VLOOKUP(CHARTYEAR&amp;"."&amp;H$9&amp;"."&amp;$E15,REP.data,18,FALSE)</f>
        <v>289.1828468826136</v>
      </c>
      <c r="I15" s="508">
        <f>VLOOKUP(CHARTYEAR&amp;"."&amp;I$9&amp;"."&amp;$E15,REP.data,18,FALSE)</f>
        <v>289.1828468826136</v>
      </c>
      <c r="J15" s="508">
        <f>VLOOKUP(CHARTYEAR&amp;"."&amp;"Employment"&amp;"."&amp;$E15,REP.data,18,FALSE)</f>
        <v>186.39756808206346</v>
      </c>
      <c r="K15" s="519"/>
      <c r="L15" s="519"/>
      <c r="M15" s="519"/>
      <c r="N15" s="520"/>
      <c r="O15" s="521"/>
      <c r="P15" s="519"/>
      <c r="Q15" s="519"/>
      <c r="R15" s="519"/>
      <c r="S15" s="519"/>
      <c r="T15" s="522"/>
      <c r="U15" s="519"/>
      <c r="V15" s="519"/>
      <c r="W15" s="519"/>
      <c r="X15" s="520"/>
    </row>
    <row r="16" spans="1:24" ht="16.149999999999999" customHeight="1" thickBot="1" x14ac:dyDescent="0.25">
      <c r="E16" s="524"/>
      <c r="F16" s="525"/>
      <c r="G16" s="525"/>
      <c r="H16" s="525"/>
      <c r="I16" s="525"/>
      <c r="J16" s="525"/>
      <c r="K16" s="525"/>
      <c r="L16" s="525"/>
      <c r="M16" s="525"/>
      <c r="N16" s="526"/>
      <c r="O16" s="527"/>
      <c r="P16" s="525"/>
      <c r="Q16" s="525"/>
      <c r="R16" s="525"/>
      <c r="S16" s="525"/>
      <c r="T16" s="525"/>
      <c r="U16" s="525"/>
      <c r="V16" s="525"/>
      <c r="W16" s="525"/>
      <c r="X16" s="526"/>
    </row>
    <row r="17" spans="4:24" ht="16.149999999999999" customHeight="1" thickTop="1" x14ac:dyDescent="0.2">
      <c r="E17" s="506"/>
      <c r="F17" s="507"/>
      <c r="G17" s="528" t="str">
        <f>"TOTAL"&amp;CHAR(10)&amp;"£"&amp;TEXT(SUM(G12:G15),"#,##0.00,")&amp;"m"</f>
        <v>TOTAL
£94.63m</v>
      </c>
      <c r="H17" s="528" t="str">
        <f>"TOTAL"&amp;CHAR(10)&amp;TEXT(SUM(H12:H15),"#,##0.00,")&amp;"m"</f>
        <v>TOTAL
1.75m</v>
      </c>
      <c r="I17" s="528" t="str">
        <f>"TOTAL"&amp;CHAR(10)&amp;TEXT(SUM(I12:I15),"#,##0.00,")&amp;"m"</f>
        <v>TOTAL
0.70m</v>
      </c>
      <c r="J17" s="528" t="str">
        <f>"TOTAL"&amp;CHAR(10)&amp;TEXT(SUM(J12:J15),"#,##0")&amp;" Direct FTEs"&amp;CHAR(10)&amp;TEXT(VLOOKUP(CHARTYEAR&amp;"."&amp;"Employment"&amp;"."&amp;TOTAL,REP.data,18,FALSE),"#,##0")&amp;" Total FTEs"</f>
        <v>TOTAL
2,288 Direct FTEs
2,680 Total FTEs</v>
      </c>
      <c r="K17" s="519"/>
      <c r="L17" s="519"/>
      <c r="M17" s="519"/>
      <c r="N17" s="520"/>
      <c r="O17" s="521"/>
      <c r="P17" s="519"/>
      <c r="Q17" s="519"/>
      <c r="R17" s="519"/>
      <c r="S17" s="519"/>
      <c r="T17" s="522"/>
      <c r="U17" s="519"/>
      <c r="V17" s="519"/>
      <c r="W17" s="519"/>
      <c r="X17" s="520"/>
    </row>
    <row r="18" spans="4:24" ht="16.149999999999999" customHeight="1" x14ac:dyDescent="0.2">
      <c r="E18" s="523"/>
      <c r="F18" s="516"/>
      <c r="G18" s="529"/>
      <c r="H18" s="529"/>
      <c r="I18" s="529"/>
      <c r="J18" s="529"/>
      <c r="K18" s="529"/>
      <c r="L18" s="529"/>
      <c r="M18" s="529"/>
      <c r="N18" s="530"/>
      <c r="O18" s="531"/>
      <c r="P18" s="529"/>
      <c r="Q18" s="529"/>
      <c r="R18" s="529"/>
      <c r="S18" s="529"/>
      <c r="T18" s="519"/>
      <c r="U18" s="529"/>
      <c r="V18" s="529"/>
      <c r="W18" s="529"/>
      <c r="X18" s="530"/>
    </row>
    <row r="19" spans="4:24" ht="16.149999999999999" customHeight="1" x14ac:dyDescent="0.2">
      <c r="E19" s="523"/>
      <c r="F19" s="516"/>
      <c r="G19" s="529"/>
      <c r="H19" s="529"/>
      <c r="I19" s="529"/>
      <c r="J19" s="529"/>
      <c r="K19" s="529"/>
      <c r="L19" s="529"/>
      <c r="M19" s="529"/>
      <c r="N19" s="530"/>
      <c r="O19" s="531"/>
      <c r="P19" s="529"/>
      <c r="Q19" s="529"/>
      <c r="R19" s="529"/>
      <c r="S19" s="529"/>
      <c r="T19" s="519"/>
      <c r="U19" s="529"/>
      <c r="V19" s="529"/>
      <c r="W19" s="529"/>
      <c r="X19" s="530"/>
    </row>
    <row r="20" spans="4:24" ht="16.149999999999999" customHeight="1" x14ac:dyDescent="0.2">
      <c r="E20" s="523"/>
      <c r="F20" s="516"/>
      <c r="G20" s="529"/>
      <c r="H20" s="529"/>
      <c r="I20" s="529"/>
      <c r="J20" s="529"/>
      <c r="K20" s="529"/>
      <c r="L20" s="529"/>
      <c r="M20" s="529"/>
      <c r="N20" s="530"/>
      <c r="O20" s="531"/>
      <c r="P20" s="529"/>
      <c r="Q20" s="529"/>
      <c r="R20" s="529"/>
      <c r="S20" s="529"/>
      <c r="T20" s="519"/>
      <c r="U20" s="529"/>
      <c r="V20" s="529"/>
      <c r="W20" s="529"/>
      <c r="X20" s="530"/>
    </row>
    <row r="21" spans="4:24" ht="16.149999999999999" customHeight="1" x14ac:dyDescent="0.2">
      <c r="E21" s="514"/>
      <c r="F21" s="515"/>
      <c r="G21" s="515"/>
      <c r="H21" s="515"/>
      <c r="I21" s="515"/>
      <c r="J21" s="515"/>
      <c r="K21" s="515"/>
      <c r="L21" s="515"/>
      <c r="M21" s="515"/>
      <c r="N21" s="532"/>
      <c r="O21" s="533"/>
      <c r="P21" s="515"/>
      <c r="Q21" s="515"/>
      <c r="R21" s="515"/>
      <c r="S21" s="515"/>
      <c r="T21" s="515"/>
      <c r="U21" s="515"/>
      <c r="V21" s="515"/>
      <c r="W21" s="515"/>
      <c r="X21" s="532"/>
    </row>
    <row r="22" spans="4:24" ht="16.149999999999999" customHeight="1" thickBot="1" x14ac:dyDescent="0.25">
      <c r="E22" s="524"/>
      <c r="F22" s="525"/>
      <c r="G22" s="525"/>
      <c r="H22" s="525"/>
      <c r="I22" s="525"/>
      <c r="J22" s="525"/>
      <c r="K22" s="525"/>
      <c r="L22" s="525"/>
      <c r="M22" s="525"/>
      <c r="N22" s="526"/>
      <c r="O22" s="527"/>
      <c r="P22" s="525"/>
      <c r="Q22" s="525"/>
      <c r="R22" s="525"/>
      <c r="S22" s="525"/>
      <c r="T22" s="525"/>
      <c r="U22" s="525"/>
      <c r="V22" s="525"/>
      <c r="W22" s="525"/>
      <c r="X22" s="526"/>
    </row>
    <row r="23" spans="4:24" ht="16.149999999999999" customHeight="1" thickTop="1" thickBot="1" x14ac:dyDescent="0.25">
      <c r="E23" s="887" t="str">
        <f ca="1">PROPER('VISITOR DAYS'!$U$6)&amp;" - "&amp;CHARTYEAR&amp;" - M - Share of Total"</f>
        <v>Visitor Days - 2013 - M - Share of Total</v>
      </c>
      <c r="F23" s="888"/>
      <c r="G23" s="888"/>
      <c r="H23" s="888"/>
      <c r="I23" s="888"/>
      <c r="J23" s="888"/>
      <c r="K23" s="888"/>
      <c r="L23" s="888"/>
      <c r="M23" s="888"/>
      <c r="N23" s="888"/>
      <c r="O23" s="889" t="str">
        <f>"Direct Employment Supported - "&amp;CHARTYEAR&amp;" - FTEs - Share of Total"</f>
        <v>Direct Employment Supported - 2013 - FTEs - Share of Total</v>
      </c>
      <c r="P23" s="890"/>
      <c r="Q23" s="890"/>
      <c r="R23" s="890"/>
      <c r="S23" s="890"/>
      <c r="T23" s="890"/>
      <c r="U23" s="890"/>
      <c r="V23" s="890"/>
      <c r="W23" s="890"/>
      <c r="X23" s="891"/>
    </row>
    <row r="24" spans="4:24" ht="16.149999999999999" customHeight="1" thickTop="1" x14ac:dyDescent="0.2">
      <c r="E24" s="440"/>
      <c r="F24" s="441"/>
      <c r="G24" s="441"/>
      <c r="H24" s="441"/>
      <c r="I24" s="441"/>
      <c r="J24" s="441"/>
      <c r="K24" s="441"/>
      <c r="L24" s="441"/>
      <c r="M24" s="430"/>
      <c r="N24" s="431"/>
      <c r="O24" s="440"/>
      <c r="P24" s="441"/>
      <c r="Q24" s="441"/>
      <c r="R24" s="441"/>
      <c r="S24" s="441"/>
      <c r="T24" s="441"/>
      <c r="U24" s="441"/>
      <c r="V24" s="441"/>
      <c r="W24" s="430"/>
      <c r="X24" s="431"/>
    </row>
    <row r="25" spans="4:24" ht="16.149999999999999" customHeight="1" x14ac:dyDescent="0.2">
      <c r="E25" s="158"/>
      <c r="F25" s="159"/>
      <c r="G25" s="428"/>
      <c r="H25" s="428"/>
      <c r="I25" s="428"/>
      <c r="J25" s="428"/>
      <c r="K25" s="428"/>
      <c r="L25" s="428"/>
      <c r="M25" s="419"/>
      <c r="N25" s="435"/>
      <c r="O25" s="158"/>
      <c r="P25" s="159"/>
      <c r="Q25" s="428"/>
      <c r="R25" s="428"/>
      <c r="S25" s="428"/>
      <c r="T25" s="428"/>
      <c r="U25" s="428"/>
      <c r="V25" s="428"/>
      <c r="W25" s="419"/>
      <c r="X25" s="435"/>
    </row>
    <row r="26" spans="4:24" ht="16.149999999999999" customHeight="1" x14ac:dyDescent="0.2">
      <c r="E26" s="254"/>
      <c r="F26" s="255"/>
      <c r="G26" s="166"/>
      <c r="H26" s="166"/>
      <c r="I26" s="166"/>
      <c r="J26" s="166"/>
      <c r="K26" s="166"/>
      <c r="L26" s="166"/>
      <c r="M26" s="422"/>
      <c r="N26" s="429"/>
      <c r="O26" s="254"/>
      <c r="P26" s="255"/>
      <c r="Q26" s="166"/>
      <c r="R26" s="166"/>
      <c r="S26" s="166"/>
      <c r="T26" s="166"/>
      <c r="U26" s="166"/>
      <c r="V26" s="166"/>
      <c r="W26" s="422"/>
      <c r="X26" s="429"/>
    </row>
    <row r="27" spans="4:24" ht="16.149999999999999" customHeight="1" x14ac:dyDescent="0.2">
      <c r="E27" s="254"/>
      <c r="F27" s="255"/>
      <c r="G27" s="166"/>
      <c r="H27" s="166"/>
      <c r="I27" s="166"/>
      <c r="J27" s="166"/>
      <c r="K27" s="166"/>
      <c r="L27" s="166"/>
      <c r="M27" s="422"/>
      <c r="N27" s="429"/>
      <c r="O27" s="254"/>
      <c r="P27" s="255"/>
      <c r="Q27" s="166"/>
      <c r="R27" s="166"/>
      <c r="S27" s="166"/>
      <c r="T27" s="166"/>
      <c r="U27" s="166"/>
      <c r="V27" s="166"/>
      <c r="W27" s="422"/>
      <c r="X27" s="429"/>
    </row>
    <row r="28" spans="4:24" ht="16.149999999999999" customHeight="1" x14ac:dyDescent="0.2">
      <c r="D28" s="203"/>
      <c r="E28" s="254"/>
      <c r="F28" s="255"/>
      <c r="G28" s="166"/>
      <c r="H28" s="166"/>
      <c r="I28" s="166"/>
      <c r="J28" s="166"/>
      <c r="K28" s="166"/>
      <c r="L28" s="166"/>
      <c r="M28" s="422"/>
      <c r="N28" s="429"/>
      <c r="O28" s="254"/>
      <c r="P28" s="255"/>
      <c r="Q28" s="166"/>
      <c r="R28" s="166"/>
      <c r="S28" s="166"/>
      <c r="T28" s="166"/>
      <c r="U28" s="166"/>
      <c r="V28" s="166"/>
      <c r="W28" s="422"/>
      <c r="X28" s="429"/>
    </row>
    <row r="29" spans="4:24" ht="16.149999999999999" customHeight="1" x14ac:dyDescent="0.2">
      <c r="D29" s="203"/>
      <c r="E29" s="442"/>
      <c r="F29" s="419"/>
      <c r="G29" s="425"/>
      <c r="H29" s="425"/>
      <c r="I29" s="425"/>
      <c r="J29" s="425"/>
      <c r="K29" s="425"/>
      <c r="L29" s="425"/>
      <c r="M29" s="424"/>
      <c r="N29" s="426"/>
      <c r="O29" s="442"/>
      <c r="P29" s="419"/>
      <c r="Q29" s="425"/>
      <c r="R29" s="425"/>
      <c r="S29" s="425"/>
      <c r="T29" s="425"/>
      <c r="U29" s="425"/>
      <c r="V29" s="425"/>
      <c r="W29" s="424"/>
      <c r="X29" s="426"/>
    </row>
    <row r="30" spans="4:24" ht="16.149999999999999" customHeight="1" x14ac:dyDescent="0.2">
      <c r="D30" s="203"/>
      <c r="E30" s="442"/>
      <c r="F30" s="419"/>
      <c r="G30" s="425"/>
      <c r="H30" s="425"/>
      <c r="I30" s="425"/>
      <c r="J30" s="425"/>
      <c r="K30" s="425"/>
      <c r="L30" s="425"/>
      <c r="M30" s="424"/>
      <c r="N30" s="426"/>
      <c r="O30" s="442"/>
      <c r="P30" s="419"/>
      <c r="Q30" s="425"/>
      <c r="R30" s="425"/>
      <c r="S30" s="425"/>
      <c r="T30" s="425"/>
      <c r="U30" s="425"/>
      <c r="V30" s="425"/>
      <c r="W30" s="424"/>
      <c r="X30" s="426"/>
    </row>
    <row r="31" spans="4:24" ht="16.149999999999999" customHeight="1" x14ac:dyDescent="0.2">
      <c r="D31" s="203"/>
      <c r="E31" s="442"/>
      <c r="F31" s="419"/>
      <c r="G31" s="425"/>
      <c r="H31" s="425"/>
      <c r="I31" s="425"/>
      <c r="J31" s="425"/>
      <c r="K31" s="425"/>
      <c r="L31" s="425"/>
      <c r="M31" s="424"/>
      <c r="N31" s="426"/>
      <c r="O31" s="442"/>
      <c r="P31" s="419"/>
      <c r="Q31" s="425"/>
      <c r="R31" s="425"/>
      <c r="S31" s="425"/>
      <c r="T31" s="425"/>
      <c r="U31" s="425"/>
      <c r="V31" s="425"/>
      <c r="W31" s="424"/>
      <c r="X31" s="426"/>
    </row>
    <row r="32" spans="4:24" ht="16.149999999999999" customHeight="1" x14ac:dyDescent="0.2">
      <c r="D32" s="203"/>
      <c r="E32" s="442"/>
      <c r="F32" s="419"/>
      <c r="G32" s="425"/>
      <c r="H32" s="425"/>
      <c r="I32" s="425"/>
      <c r="J32" s="425"/>
      <c r="K32" s="425"/>
      <c r="L32" s="425"/>
      <c r="M32" s="424"/>
      <c r="N32" s="426"/>
      <c r="O32" s="442"/>
      <c r="P32" s="419"/>
      <c r="Q32" s="425"/>
      <c r="R32" s="425"/>
      <c r="S32" s="425"/>
      <c r="T32" s="425"/>
      <c r="U32" s="425"/>
      <c r="V32" s="425"/>
      <c r="W32" s="424"/>
      <c r="X32" s="426"/>
    </row>
    <row r="33" spans="1:30" ht="16.149999999999999" customHeight="1" x14ac:dyDescent="0.2">
      <c r="D33" s="203"/>
      <c r="E33" s="149"/>
      <c r="F33" s="150"/>
      <c r="G33" s="443"/>
      <c r="H33" s="443"/>
      <c r="I33" s="444"/>
      <c r="J33" s="444"/>
      <c r="K33" s="444"/>
      <c r="L33" s="444"/>
      <c r="M33" s="444"/>
      <c r="N33" s="445"/>
      <c r="O33" s="446"/>
      <c r="P33" s="444"/>
      <c r="Q33" s="444"/>
      <c r="R33" s="444"/>
      <c r="S33" s="425"/>
      <c r="T33" s="447"/>
      <c r="U33" s="447"/>
      <c r="V33" s="447"/>
      <c r="W33" s="447"/>
      <c r="X33" s="448"/>
    </row>
    <row r="34" spans="1:30" ht="16.149999999999999" customHeight="1" x14ac:dyDescent="0.2">
      <c r="D34" s="203"/>
      <c r="E34" s="449"/>
      <c r="F34" s="450"/>
      <c r="G34" s="166"/>
      <c r="H34" s="166"/>
      <c r="I34" s="166"/>
      <c r="J34" s="166"/>
      <c r="K34" s="166"/>
      <c r="L34" s="166"/>
      <c r="M34" s="166"/>
      <c r="N34" s="423"/>
      <c r="O34" s="427"/>
      <c r="P34" s="166"/>
      <c r="Q34" s="166"/>
      <c r="R34" s="166"/>
      <c r="S34" s="425"/>
      <c r="T34" s="447"/>
      <c r="U34" s="447"/>
      <c r="V34" s="447"/>
      <c r="W34" s="447"/>
      <c r="X34" s="448"/>
    </row>
    <row r="35" spans="1:30" ht="16.149999999999999" customHeight="1" x14ac:dyDescent="0.2">
      <c r="D35" s="203"/>
      <c r="E35" s="449"/>
      <c r="F35" s="450"/>
      <c r="G35" s="166"/>
      <c r="H35" s="166"/>
      <c r="I35" s="166"/>
      <c r="J35" s="166"/>
      <c r="K35" s="166"/>
      <c r="L35" s="166"/>
      <c r="M35" s="166"/>
      <c r="N35" s="423"/>
      <c r="O35" s="427"/>
      <c r="P35" s="166"/>
      <c r="Q35" s="166"/>
      <c r="R35" s="166"/>
      <c r="S35" s="425"/>
      <c r="T35" s="425"/>
      <c r="U35" s="425"/>
      <c r="V35" s="425"/>
      <c r="W35" s="424"/>
      <c r="X35" s="426"/>
    </row>
    <row r="36" spans="1:30" ht="16.149999999999999" customHeight="1" x14ac:dyDescent="0.2">
      <c r="D36" s="203"/>
      <c r="E36" s="449"/>
      <c r="F36" s="450"/>
      <c r="G36" s="166"/>
      <c r="H36" s="166"/>
      <c r="I36" s="166"/>
      <c r="J36" s="166"/>
      <c r="K36" s="166"/>
      <c r="L36" s="166"/>
      <c r="M36" s="166"/>
      <c r="N36" s="423"/>
      <c r="O36" s="427"/>
      <c r="P36" s="166"/>
      <c r="Q36" s="166"/>
      <c r="R36" s="166"/>
      <c r="S36" s="425"/>
      <c r="T36" s="425"/>
      <c r="U36" s="425"/>
      <c r="V36" s="425"/>
      <c r="W36" s="424"/>
      <c r="X36" s="426"/>
    </row>
    <row r="37" spans="1:30" s="181" customFormat="1" ht="16.149999999999999" customHeight="1" thickBot="1" x14ac:dyDescent="0.25">
      <c r="A37" s="118"/>
      <c r="B37" s="118"/>
      <c r="C37" s="118"/>
      <c r="D37" s="203"/>
      <c r="E37" s="451"/>
      <c r="F37" s="452"/>
      <c r="G37" s="453"/>
      <c r="H37" s="453"/>
      <c r="I37" s="453"/>
      <c r="J37" s="453"/>
      <c r="K37" s="453"/>
      <c r="L37" s="453"/>
      <c r="M37" s="453"/>
      <c r="N37" s="454"/>
      <c r="O37" s="455"/>
      <c r="P37" s="453"/>
      <c r="Q37" s="453"/>
      <c r="R37" s="453"/>
      <c r="S37" s="283"/>
      <c r="T37" s="283"/>
      <c r="U37" s="283"/>
      <c r="V37" s="283"/>
      <c r="W37" s="284"/>
      <c r="X37" s="285"/>
      <c r="Y37" s="118"/>
      <c r="Z37" s="118"/>
      <c r="AA37" s="118"/>
      <c r="AB37" s="118"/>
      <c r="AC37" s="118"/>
      <c r="AD37" s="118"/>
    </row>
    <row r="38" spans="1:30" ht="16.149999999999999" customHeight="1" thickTop="1" thickBot="1" x14ac:dyDescent="0.2">
      <c r="A38" s="181"/>
      <c r="B38" s="181"/>
      <c r="C38" s="181"/>
      <c r="D38" s="177"/>
      <c r="E38" s="178" t="str">
        <f>REP.footer1</f>
        <v>This report is copyright © Global Tourism Solutions (UK) Ltd 2014</v>
      </c>
      <c r="F38" s="179"/>
      <c r="G38" s="179"/>
      <c r="H38" s="179"/>
      <c r="I38" s="179"/>
      <c r="J38" s="179"/>
      <c r="K38" s="179"/>
      <c r="L38" s="179"/>
      <c r="M38" s="179"/>
      <c r="N38" s="179"/>
      <c r="O38" s="179"/>
      <c r="P38" s="179"/>
      <c r="Q38" s="179"/>
      <c r="R38" s="179"/>
      <c r="S38" s="179"/>
      <c r="T38" s="179"/>
      <c r="U38" s="179"/>
      <c r="V38" s="179"/>
      <c r="W38" s="179"/>
      <c r="X38" s="180" t="str">
        <f>REP.footer2</f>
        <v>Report Prepared by: Alison Tipler. Date of Issue: 11/04/14</v>
      </c>
      <c r="Y38" s="181"/>
      <c r="Z38" s="181"/>
      <c r="AA38" s="181"/>
      <c r="AB38" s="181"/>
      <c r="AC38" s="181"/>
      <c r="AD38" s="181"/>
    </row>
    <row r="39" spans="1:30" ht="16.149999999999999" customHeight="1" thickTop="1" x14ac:dyDescent="0.2"/>
    <row r="40" spans="1:30" ht="16.149999999999999" customHeight="1" x14ac:dyDescent="0.2">
      <c r="G40" s="247"/>
      <c r="H40" s="247"/>
      <c r="I40" s="247"/>
      <c r="J40" s="247"/>
      <c r="K40" s="247"/>
      <c r="L40" s="247"/>
      <c r="M40" s="247"/>
      <c r="N40" s="247"/>
      <c r="O40" s="247"/>
      <c r="P40" s="247"/>
      <c r="Q40" s="247"/>
      <c r="R40" s="247"/>
      <c r="S40" s="247"/>
      <c r="T40" s="247"/>
      <c r="U40" s="247"/>
      <c r="V40" s="247"/>
    </row>
    <row r="41" spans="1:30" ht="45" customHeight="1" x14ac:dyDescent="0.2">
      <c r="G41" s="247"/>
      <c r="H41" s="247"/>
      <c r="I41" s="247"/>
      <c r="J41" s="247"/>
      <c r="K41" s="247"/>
      <c r="L41" s="247"/>
      <c r="M41" s="247"/>
      <c r="N41" s="247"/>
      <c r="O41" s="247"/>
      <c r="P41" s="247"/>
      <c r="Q41" s="247"/>
      <c r="R41" s="247"/>
      <c r="S41" s="247"/>
      <c r="T41" s="247"/>
      <c r="U41" s="247"/>
      <c r="V41" s="247"/>
    </row>
    <row r="76" spans="5:11" ht="16.149999999999999" customHeight="1" thickBot="1" x14ac:dyDescent="0.25"/>
    <row r="77" spans="5:11" ht="16.149999999999999" customHeight="1" thickBot="1" x14ac:dyDescent="0.25">
      <c r="E77" s="467"/>
      <c r="F77" s="467"/>
      <c r="G77" s="468" t="s">
        <v>147</v>
      </c>
      <c r="H77" s="469" t="s">
        <v>148</v>
      </c>
      <c r="I77" s="470" t="s">
        <v>148</v>
      </c>
      <c r="J77" s="471" t="s">
        <v>60</v>
      </c>
      <c r="K77" s="467"/>
    </row>
    <row r="78" spans="5:11" ht="16.149999999999999" customHeight="1" thickBot="1" x14ac:dyDescent="0.25">
      <c r="E78" s="472" t="s">
        <v>112</v>
      </c>
      <c r="F78" s="472"/>
      <c r="G78" s="473">
        <f t="shared" ref="G78:J80" si="1">G12</f>
        <v>45078.028695324305</v>
      </c>
      <c r="H78" s="473">
        <f t="shared" si="1"/>
        <v>437.4696870178675</v>
      </c>
      <c r="I78" s="473">
        <f t="shared" si="1"/>
        <v>228.66376542239146</v>
      </c>
      <c r="J78" s="474">
        <f t="shared" si="1"/>
        <v>1374.7079044578929</v>
      </c>
      <c r="K78" s="472"/>
    </row>
    <row r="79" spans="5:11" ht="16.149999999999999" customHeight="1" thickBot="1" x14ac:dyDescent="0.25">
      <c r="E79" s="475" t="s">
        <v>113</v>
      </c>
      <c r="F79" s="475"/>
      <c r="G79" s="476">
        <f t="shared" si="1"/>
        <v>21237.500543131937</v>
      </c>
      <c r="H79" s="476">
        <f t="shared" si="1"/>
        <v>498.23014280166751</v>
      </c>
      <c r="I79" s="476">
        <f t="shared" si="1"/>
        <v>66.886254634613451</v>
      </c>
      <c r="J79" s="477">
        <f t="shared" si="1"/>
        <v>540.18453310661721</v>
      </c>
      <c r="K79" s="475"/>
    </row>
    <row r="80" spans="5:11" ht="16.149999999999999" customHeight="1" thickBot="1" x14ac:dyDescent="0.25">
      <c r="E80" s="478" t="s">
        <v>19</v>
      </c>
      <c r="F80" s="478"/>
      <c r="G80" s="479">
        <f t="shared" si="1"/>
        <v>14154.86925382176</v>
      </c>
      <c r="H80" s="479">
        <f t="shared" si="1"/>
        <v>524.121236602468</v>
      </c>
      <c r="I80" s="479">
        <f t="shared" si="1"/>
        <v>116.04619553770891</v>
      </c>
      <c r="J80" s="480">
        <f t="shared" si="1"/>
        <v>186.25324019077183</v>
      </c>
      <c r="K80" s="478"/>
    </row>
    <row r="81" spans="5:11" ht="16.149999999999999" customHeight="1" thickBot="1" x14ac:dyDescent="0.25">
      <c r="E81" s="481" t="s">
        <v>143</v>
      </c>
      <c r="F81" s="481"/>
      <c r="G81" s="482">
        <f t="shared" ref="G81:J82" si="2">G10</f>
        <v>80470.398492278007</v>
      </c>
      <c r="H81" s="482">
        <f t="shared" si="2"/>
        <v>1459.821066422003</v>
      </c>
      <c r="I81" s="482">
        <f t="shared" si="2"/>
        <v>411.59621559471384</v>
      </c>
      <c r="J81" s="483">
        <f t="shared" si="2"/>
        <v>2101.1456777552821</v>
      </c>
      <c r="K81" s="481"/>
    </row>
    <row r="82" spans="5:11" ht="16.149999999999999" customHeight="1" thickBot="1" x14ac:dyDescent="0.25">
      <c r="E82" s="484" t="s">
        <v>73</v>
      </c>
      <c r="F82" s="484"/>
      <c r="G82" s="485">
        <f t="shared" si="2"/>
        <v>14157.493048568762</v>
      </c>
      <c r="H82" s="485">
        <f t="shared" si="2"/>
        <v>289.1828468826136</v>
      </c>
      <c r="I82" s="485">
        <f t="shared" si="2"/>
        <v>289.1828468826136</v>
      </c>
      <c r="J82" s="486">
        <f t="shared" si="2"/>
        <v>186.39756808206346</v>
      </c>
      <c r="K82" s="484"/>
    </row>
    <row r="83" spans="5:11" ht="16.149999999999999" customHeight="1" thickBot="1" x14ac:dyDescent="0.25">
      <c r="E83" s="487" t="s">
        <v>55</v>
      </c>
      <c r="F83" s="487"/>
      <c r="G83" s="488">
        <f>SUM(G81:G82)</f>
        <v>94627.891540846773</v>
      </c>
      <c r="H83" s="488">
        <f t="shared" ref="H83:J83" si="3">SUM(H81:H82)</f>
        <v>1749.0039133046166</v>
      </c>
      <c r="I83" s="488">
        <f t="shared" si="3"/>
        <v>700.77906247732744</v>
      </c>
      <c r="J83" s="489">
        <f t="shared" si="3"/>
        <v>2287.5432458373457</v>
      </c>
      <c r="K83" s="487"/>
    </row>
  </sheetData>
  <sheetProtection algorithmName="SHA-512" hashValue="GMuX36EVNN0gX+LisYtDcVtraQRAukp27TXPObFGSIAsw0cOWrVdOycMOx58hIy5+Ld4GHOnqxAji5YM1DqcYQ==" saltValue="fe/rFrG2qJkKcjeZga4mIw==" spinCount="100000" sheet="1" objects="1" scenarios="1"/>
  <mergeCells count="8">
    <mergeCell ref="E23:N23"/>
    <mergeCell ref="O23:X23"/>
    <mergeCell ref="O6:R6"/>
    <mergeCell ref="S6:T7"/>
    <mergeCell ref="U6:X7"/>
    <mergeCell ref="O7:R7"/>
    <mergeCell ref="E8:N8"/>
    <mergeCell ref="O8:X8"/>
  </mergeCells>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8417" r:id="rId4" name="Drop Down 1">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88420" r:id="rId5" name="Drop Down 4">
              <controlPr defaultSize="0" autoLine="0" autoPict="0">
                <anchor moveWithCells="1">
                  <from>
                    <xdr:col>5</xdr:col>
                    <xdr:colOff>333375</xdr:colOff>
                    <xdr:row>4</xdr:row>
                    <xdr:rowOff>19050</xdr:rowOff>
                  </from>
                  <to>
                    <xdr:col>7</xdr:col>
                    <xdr:colOff>200025</xdr:colOff>
                    <xdr:row>4</xdr:row>
                    <xdr:rowOff>295275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331429739FE74BABAE81C1A1BCA819" ma:contentTypeVersion="10" ma:contentTypeDescription="Create a new document." ma:contentTypeScope="" ma:versionID="c4362689070f540570fab16e5a28ea26">
  <xsd:schema xmlns:xsd="http://www.w3.org/2001/XMLSchema" xmlns:xs="http://www.w3.org/2001/XMLSchema" xmlns:p="http://schemas.microsoft.com/office/2006/metadata/properties" xmlns:ns2="4d638110-6697-4d8a-910d-122ff90dba8f" targetNamespace="http://schemas.microsoft.com/office/2006/metadata/properties" ma:root="true" ma:fieldsID="df0f9c0c974c0d525a401464ed8e6630" ns2:_="">
    <xsd:import namespace="4d638110-6697-4d8a-910d-122ff90dba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8110-6697-4d8a-910d-122ff90dba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C92E83-D909-45EA-9FB1-F89488A4113A}"/>
</file>

<file path=customXml/itemProps2.xml><?xml version="1.0" encoding="utf-8"?>
<ds:datastoreItem xmlns:ds="http://schemas.openxmlformats.org/officeDocument/2006/customXml" ds:itemID="{5AAF6BDB-C829-43EB-A3E4-063D12B49BFB}"/>
</file>

<file path=customXml/itemProps3.xml><?xml version="1.0" encoding="utf-8"?>
<ds:datastoreItem xmlns:ds="http://schemas.openxmlformats.org/officeDocument/2006/customXml" ds:itemID="{B07490E1-6C7C-440D-B1FC-CCD6344F8E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62</vt:i4>
      </vt:variant>
    </vt:vector>
  </HeadingPairs>
  <TitlesOfParts>
    <vt:vector size="77" baseType="lpstr">
      <vt:lpstr>HOME</vt:lpstr>
      <vt:lpstr>USER GUIDE</vt:lpstr>
      <vt:lpstr>COMPARATIVE HEADLINES</vt:lpstr>
      <vt:lpstr>KEY MEASURES</vt:lpstr>
      <vt:lpstr>VISITOR TYPE DISTRIBUTION</vt:lpstr>
      <vt:lpstr>MONTHLY DISTRIBUTION</vt:lpstr>
      <vt:lpstr>ECONOMIC IMPACT</vt:lpstr>
      <vt:lpstr>VISITOR NUMBERS</vt:lpstr>
      <vt:lpstr>VISITOR DAYS</vt:lpstr>
      <vt:lpstr>EMPLOYMENT</vt:lpstr>
      <vt:lpstr>ACCOMMODATION SUPPLY</vt:lpstr>
      <vt:lpstr>SECTORAL ANALYSIS</vt:lpstr>
      <vt:lpstr>COVER</vt:lpstr>
      <vt:lpstr>CONTENTS</vt:lpstr>
      <vt:lpstr>DATA</vt:lpstr>
      <vt:lpstr>CHART.chart2seriesname</vt:lpstr>
      <vt:lpstr>CHARTYEAR.no</vt:lpstr>
      <vt:lpstr>COMPARISONYEAR.no</vt:lpstr>
      <vt:lpstr>FOCUSYEAR.no</vt:lpstr>
      <vt:lpstr>INDEX.no</vt:lpstr>
      <vt:lpstr>'ACCOMMODATION SUPPLY'!Print_Area</vt:lpstr>
      <vt:lpstr>ANNEX!Print_Area</vt:lpstr>
      <vt:lpstr>'COMPARATIVE HEADLINES'!Print_Area</vt:lpstr>
      <vt:lpstr>CONTENTS!Print_Area</vt:lpstr>
      <vt:lpstr>COVER!Print_Area</vt:lpstr>
      <vt:lpstr>'ECONOMIC IMPACT'!Print_Area</vt:lpstr>
      <vt:lpstr>EMPLOYMENT!Print_Area</vt:lpstr>
      <vt:lpstr>HOME!Print_Area</vt:lpstr>
      <vt:lpstr>'KEY MEASURES'!Print_Area</vt:lpstr>
      <vt:lpstr>'MONTHLY DISTRIBUTION'!Print_Area</vt:lpstr>
      <vt:lpstr>PB!Print_Area</vt:lpstr>
      <vt:lpstr>'SECTORAL ANALYSIS'!Print_Area</vt:lpstr>
      <vt:lpstr>'USER GUIDE'!Print_Area</vt:lpstr>
      <vt:lpstr>'VISITOR DAYS'!Print_Area</vt:lpstr>
      <vt:lpstr>'VISITOR NUMBERS'!Print_Area</vt:lpstr>
      <vt:lpstr>'VISITOR TYPE DISTRIBUTION'!Print_Area</vt:lpstr>
      <vt:lpstr>REP.AllYear</vt:lpstr>
      <vt:lpstr>REP.alookup</vt:lpstr>
      <vt:lpstr>REP.areacode</vt:lpstr>
      <vt:lpstr>REP.authority</vt:lpstr>
      <vt:lpstr>REP.companycontacts</vt:lpstr>
      <vt:lpstr>REP.data</vt:lpstr>
      <vt:lpstr>REP.footer1</vt:lpstr>
      <vt:lpstr>REP.footer2</vt:lpstr>
      <vt:lpstr>REP.gts</vt:lpstr>
      <vt:lpstr>REP.highlightdown</vt:lpstr>
      <vt:lpstr>REP.highlightsame</vt:lpstr>
      <vt:lpstr>REP.highlightup</vt:lpstr>
      <vt:lpstr>REP.ind</vt:lpstr>
      <vt:lpstr>REP.indexationfactors</vt:lpstr>
      <vt:lpstr>REP.indexationtable</vt:lpstr>
      <vt:lpstr>REP.indexationtoFOCUSYEAR</vt:lpstr>
      <vt:lpstr>REP.issued</vt:lpstr>
      <vt:lpstr>REP.lookup</vt:lpstr>
      <vt:lpstr>REP.monthnos</vt:lpstr>
      <vt:lpstr>REP.months</vt:lpstr>
      <vt:lpstr>REP.percenthighlight</vt:lpstr>
      <vt:lpstr>rep.percenthighlightchoices</vt:lpstr>
      <vt:lpstr>rep.percenthighlightno</vt:lpstr>
      <vt:lpstr>REP.product</vt:lpstr>
      <vt:lpstr>REP.QuarterAllYear</vt:lpstr>
      <vt:lpstr>REP.quarters</vt:lpstr>
      <vt:lpstr>REP.reporttype</vt:lpstr>
      <vt:lpstr>REP.status</vt:lpstr>
      <vt:lpstr>REP.subzone</vt:lpstr>
      <vt:lpstr>REP.title1</vt:lpstr>
      <vt:lpstr>REP.title2</vt:lpstr>
      <vt:lpstr>REP.user</vt:lpstr>
      <vt:lpstr>REP.yearnos</vt:lpstr>
      <vt:lpstr>REP.yearnosINV</vt:lpstr>
      <vt:lpstr>REP.yearsrange</vt:lpstr>
      <vt:lpstr>REP.YN</vt:lpstr>
      <vt:lpstr>TYPE.choices</vt:lpstr>
      <vt:lpstr>TYPE.no</vt:lpstr>
      <vt:lpstr>TYPE.supplymeasure</vt:lpstr>
      <vt:lpstr>TYPE.userselected</vt:lpstr>
      <vt:lpstr>YEARSINREP</vt:lpstr>
    </vt:vector>
  </TitlesOfParts>
  <Company>GTS (UK) Ltd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STEAM</dc:title>
  <dc:subject/>
  <dc:creator>© Global Tourism Solutions (UK) Ltd</dc:creator>
  <cp:keywords>BD: 09042014 14:00</cp:keywords>
  <dc:description>Printed to PDF Fri 11 Apr 2014 by Alison Tipler</dc:description>
  <cp:lastModifiedBy>user</cp:lastModifiedBy>
  <cp:revision>1</cp:revision>
  <cp:lastPrinted>2014-02-28T19:06:37Z</cp:lastPrinted>
  <dcterms:created xsi:type="dcterms:W3CDTF">2013-04-08T07:23:50Z</dcterms:created>
  <dcterms:modified xsi:type="dcterms:W3CDTF">2014-07-24T11:42:26Z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0x010100BF331429739FE74BABAE81C1A1BCA819</vt:lpwstr>
  </property>
  <property fmtid="{D5CDD505-2E9C-101B-9397-08002B2CF9AE}" pid="3" name="Order">
    <vt:r8>346200</vt:r8>
  </property>
</Properties>
</file>